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B Key Back Up Sept 26 2017\2021 Budgets\"/>
    </mc:Choice>
  </mc:AlternateContent>
  <xr:revisionPtr revIDLastSave="0" documentId="13_ncr:1_{A8261496-4FE4-4D53-9FF2-E7F65B569883}" xr6:coauthVersionLast="45" xr6:coauthVersionMax="45" xr10:uidLastSave="{00000000-0000-0000-0000-000000000000}"/>
  <bookViews>
    <workbookView xWindow="-120" yWindow="-120" windowWidth="29040" windowHeight="15840" tabRatio="880" xr2:uid="{00000000-000D-0000-FFFF-FFFF00000000}"/>
  </bookViews>
  <sheets>
    <sheet name="Rice Land Tract 1 with PLC" sheetId="47" r:id="rId1"/>
    <sheet name="Returns Graph at Base Yield-1 " sheetId="50" r:id="rId2"/>
    <sheet name="Rice Land Tract 1 without PLC" sheetId="49" r:id="rId3"/>
    <sheet name="Returns Graph at base Yield-2" sheetId="51" r:id="rId4"/>
  </sheets>
  <definedNames>
    <definedName name="_xlnm.Print_Area" localSheetId="0">'Rice Land Tract 1 with PLC'!$A$1:$R$73</definedName>
    <definedName name="_xlnm.Print_Area" localSheetId="2">'Rice Land Tract 1 without PLC'!$A$1:$Q$73</definedName>
  </definedNames>
  <calcPr calcId="191029"/>
</workbook>
</file>

<file path=xl/calcChain.xml><?xml version="1.0" encoding="utf-8"?>
<calcChain xmlns="http://schemas.openxmlformats.org/spreadsheetml/2006/main">
  <c r="L26" i="47" l="1"/>
  <c r="M27" i="47"/>
  <c r="U26" i="47" l="1"/>
  <c r="D60" i="49" l="1"/>
  <c r="C60" i="49" s="1"/>
  <c r="I52" i="49"/>
  <c r="D39" i="49"/>
  <c r="I31" i="49"/>
  <c r="M27" i="49"/>
  <c r="L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H12" i="49"/>
  <c r="N11" i="49"/>
  <c r="H11" i="49"/>
  <c r="F9" i="49"/>
  <c r="F8" i="49"/>
  <c r="D60" i="47"/>
  <c r="N60" i="47" s="1"/>
  <c r="O60" i="47" s="1"/>
  <c r="I52" i="47"/>
  <c r="J52" i="47" s="1"/>
  <c r="K52" i="47" s="1"/>
  <c r="L52" i="47" s="1"/>
  <c r="M52" i="47" s="1"/>
  <c r="H31" i="49" l="1"/>
  <c r="B33" i="51"/>
  <c r="D2" i="51"/>
  <c r="J31" i="49"/>
  <c r="B34" i="51" s="1"/>
  <c r="B12" i="51"/>
  <c r="D26" i="51"/>
  <c r="D61" i="49"/>
  <c r="C61" i="49" s="1"/>
  <c r="D59" i="49"/>
  <c r="C59" i="49" s="1"/>
  <c r="F16" i="49"/>
  <c r="K31" i="49"/>
  <c r="N27" i="49"/>
  <c r="D38" i="49"/>
  <c r="C39" i="49"/>
  <c r="I39" i="49"/>
  <c r="D40" i="49"/>
  <c r="B13" i="51" s="1"/>
  <c r="J52" i="49"/>
  <c r="J60" i="49" s="1"/>
  <c r="D34" i="51" s="1"/>
  <c r="H52" i="49"/>
  <c r="G52" i="49" s="1"/>
  <c r="G60" i="49" s="1"/>
  <c r="D31" i="51" s="1"/>
  <c r="I60" i="49"/>
  <c r="D33" i="51" s="1"/>
  <c r="H39" i="49"/>
  <c r="C32" i="51" s="1"/>
  <c r="J39" i="49"/>
  <c r="C34" i="51" s="1"/>
  <c r="D61" i="47"/>
  <c r="D59" i="47"/>
  <c r="H52" i="47"/>
  <c r="G52" i="47" s="1"/>
  <c r="F52" i="47" s="1"/>
  <c r="E52" i="47" s="1"/>
  <c r="N23" i="47"/>
  <c r="N19" i="47"/>
  <c r="N13" i="47"/>
  <c r="N12" i="47"/>
  <c r="N11" i="47"/>
  <c r="N25" i="47"/>
  <c r="N24" i="47"/>
  <c r="D41" i="49" l="1"/>
  <c r="F52" i="49"/>
  <c r="E52" i="49" s="1"/>
  <c r="E60" i="49" s="1"/>
  <c r="D29" i="51" s="1"/>
  <c r="L31" i="49"/>
  <c r="B36" i="51" s="1"/>
  <c r="B35" i="51"/>
  <c r="G31" i="49"/>
  <c r="G42" i="49" s="1"/>
  <c r="B32" i="51"/>
  <c r="D37" i="49"/>
  <c r="H37" i="49" s="1"/>
  <c r="B11" i="51"/>
  <c r="D42" i="49"/>
  <c r="B14" i="51"/>
  <c r="C33" i="51"/>
  <c r="C12" i="51"/>
  <c r="D58" i="47"/>
  <c r="N59" i="47"/>
  <c r="O59" i="47" s="1"/>
  <c r="D62" i="47"/>
  <c r="N61" i="47"/>
  <c r="O61" i="47" s="1"/>
  <c r="E59" i="49"/>
  <c r="D62" i="49"/>
  <c r="D63" i="49" s="1"/>
  <c r="D64" i="49" s="1"/>
  <c r="D65" i="49" s="1"/>
  <c r="D66" i="49" s="1"/>
  <c r="I61" i="49"/>
  <c r="I59" i="49"/>
  <c r="D58" i="49"/>
  <c r="H58" i="49" s="1"/>
  <c r="H59" i="49"/>
  <c r="H60" i="49"/>
  <c r="D32" i="51" s="1"/>
  <c r="G61" i="49"/>
  <c r="G59" i="49"/>
  <c r="H61" i="49"/>
  <c r="K39" i="49"/>
  <c r="C35" i="51" s="1"/>
  <c r="M31" i="49"/>
  <c r="L39" i="49"/>
  <c r="C36" i="51" s="1"/>
  <c r="K52" i="49"/>
  <c r="E61" i="49"/>
  <c r="J61" i="49"/>
  <c r="F61" i="49"/>
  <c r="J59" i="49"/>
  <c r="F59" i="49"/>
  <c r="K40" i="49"/>
  <c r="I40" i="49"/>
  <c r="C13" i="51" s="1"/>
  <c r="G40" i="49"/>
  <c r="C40" i="49"/>
  <c r="L40" i="49"/>
  <c r="J40" i="49"/>
  <c r="H40" i="49"/>
  <c r="L41" i="49"/>
  <c r="J41" i="49"/>
  <c r="H41" i="49"/>
  <c r="K41" i="49"/>
  <c r="I41" i="49"/>
  <c r="C14" i="51" s="1"/>
  <c r="G41" i="49"/>
  <c r="C41" i="49"/>
  <c r="K42" i="49"/>
  <c r="I42" i="49"/>
  <c r="C15" i="51" s="1"/>
  <c r="C42" i="49"/>
  <c r="L42" i="49"/>
  <c r="J42" i="49"/>
  <c r="H42" i="49"/>
  <c r="K38" i="49"/>
  <c r="I38" i="49"/>
  <c r="C11" i="51" s="1"/>
  <c r="G38" i="49"/>
  <c r="C38" i="49"/>
  <c r="L38" i="49"/>
  <c r="J38" i="49"/>
  <c r="H38" i="49"/>
  <c r="N22" i="47"/>
  <c r="N21" i="47"/>
  <c r="F60" i="49" l="1"/>
  <c r="D30" i="51" s="1"/>
  <c r="I37" i="49"/>
  <c r="C10" i="51" s="1"/>
  <c r="C37" i="49"/>
  <c r="K37" i="49"/>
  <c r="J62" i="49"/>
  <c r="L37" i="49"/>
  <c r="J37" i="49"/>
  <c r="E66" i="49"/>
  <c r="M39" i="49"/>
  <c r="C37" i="51" s="1"/>
  <c r="B37" i="51"/>
  <c r="F31" i="49"/>
  <c r="B31" i="51"/>
  <c r="G39" i="49"/>
  <c r="C31" i="51" s="1"/>
  <c r="G37" i="49"/>
  <c r="I63" i="49"/>
  <c r="C64" i="49"/>
  <c r="F66" i="49"/>
  <c r="J63" i="49"/>
  <c r="H65" i="49"/>
  <c r="F64" i="49"/>
  <c r="I66" i="49"/>
  <c r="G65" i="49"/>
  <c r="G62" i="49"/>
  <c r="D43" i="49"/>
  <c r="M43" i="49" s="1"/>
  <c r="B15" i="51"/>
  <c r="D36" i="49"/>
  <c r="M36" i="49" s="1"/>
  <c r="B10" i="51"/>
  <c r="D57" i="47"/>
  <c r="N58" i="47"/>
  <c r="O58" i="47" s="1"/>
  <c r="D63" i="47"/>
  <c r="N62" i="47"/>
  <c r="O62" i="47" s="1"/>
  <c r="C58" i="49"/>
  <c r="D57" i="49"/>
  <c r="K57" i="49" s="1"/>
  <c r="I58" i="49"/>
  <c r="F58" i="49"/>
  <c r="J65" i="49"/>
  <c r="I65" i="49"/>
  <c r="I62" i="49"/>
  <c r="C63" i="49"/>
  <c r="E64" i="49"/>
  <c r="H64" i="49"/>
  <c r="J66" i="49"/>
  <c r="H66" i="49"/>
  <c r="E58" i="49"/>
  <c r="C65" i="49"/>
  <c r="C62" i="49"/>
  <c r="F62" i="49"/>
  <c r="F63" i="49"/>
  <c r="E63" i="49"/>
  <c r="G64" i="49"/>
  <c r="J64" i="49"/>
  <c r="C66" i="49"/>
  <c r="D67" i="49"/>
  <c r="K67" i="49" s="1"/>
  <c r="G58" i="49"/>
  <c r="F65" i="49"/>
  <c r="E65" i="49"/>
  <c r="E62" i="49"/>
  <c r="H62" i="49"/>
  <c r="H63" i="49"/>
  <c r="G63" i="49"/>
  <c r="I64" i="49"/>
  <c r="G66" i="49"/>
  <c r="J58" i="49"/>
  <c r="M38" i="49"/>
  <c r="M42" i="49"/>
  <c r="M41" i="49"/>
  <c r="M40" i="49"/>
  <c r="M37" i="49"/>
  <c r="L52" i="49"/>
  <c r="K58" i="49"/>
  <c r="K59" i="49"/>
  <c r="K60" i="49"/>
  <c r="D35" i="51" s="1"/>
  <c r="K61" i="49"/>
  <c r="K65" i="49"/>
  <c r="K62" i="49"/>
  <c r="K63" i="49"/>
  <c r="K64" i="49"/>
  <c r="K66" i="49"/>
  <c r="N20" i="47"/>
  <c r="N18" i="47"/>
  <c r="N17" i="47"/>
  <c r="N16" i="47"/>
  <c r="N15" i="47"/>
  <c r="N14" i="47"/>
  <c r="I31" i="47"/>
  <c r="H11" i="47"/>
  <c r="H12" i="47"/>
  <c r="D39" i="47"/>
  <c r="F9" i="47"/>
  <c r="F8" i="47"/>
  <c r="N27" i="47" l="1"/>
  <c r="E31" i="49"/>
  <c r="B30" i="51"/>
  <c r="F39" i="49"/>
  <c r="F42" i="49"/>
  <c r="D15" i="51" s="1"/>
  <c r="F38" i="49"/>
  <c r="D11" i="51" s="1"/>
  <c r="F41" i="49"/>
  <c r="D14" i="51" s="1"/>
  <c r="F37" i="49"/>
  <c r="D10" i="51" s="1"/>
  <c r="F40" i="49"/>
  <c r="D13" i="51" s="1"/>
  <c r="D2" i="50"/>
  <c r="B33" i="50"/>
  <c r="B9" i="51"/>
  <c r="C36" i="49"/>
  <c r="K36" i="49"/>
  <c r="J36" i="49"/>
  <c r="E36" i="49"/>
  <c r="F36" i="49"/>
  <c r="D9" i="51" s="1"/>
  <c r="H36" i="49"/>
  <c r="L36" i="49"/>
  <c r="I36" i="49"/>
  <c r="C9" i="51" s="1"/>
  <c r="G36" i="49"/>
  <c r="D35" i="49"/>
  <c r="D44" i="49"/>
  <c r="B16" i="51"/>
  <c r="G43" i="49"/>
  <c r="E43" i="49"/>
  <c r="J43" i="49"/>
  <c r="L43" i="49"/>
  <c r="C43" i="49"/>
  <c r="H43" i="49"/>
  <c r="F43" i="49"/>
  <c r="D16" i="51" s="1"/>
  <c r="K43" i="49"/>
  <c r="I43" i="49"/>
  <c r="C16" i="51" s="1"/>
  <c r="B12" i="50"/>
  <c r="D26" i="50"/>
  <c r="N39" i="47"/>
  <c r="O39" i="47" s="1"/>
  <c r="D56" i="47"/>
  <c r="N57" i="47"/>
  <c r="O57" i="47" s="1"/>
  <c r="D64" i="47"/>
  <c r="N63" i="47"/>
  <c r="O63" i="47" s="1"/>
  <c r="I67" i="49"/>
  <c r="J67" i="49"/>
  <c r="G67" i="49"/>
  <c r="H67" i="49"/>
  <c r="E67" i="49"/>
  <c r="F67" i="49"/>
  <c r="C67" i="49"/>
  <c r="D56" i="49"/>
  <c r="E57" i="49"/>
  <c r="I57" i="49"/>
  <c r="C57" i="49"/>
  <c r="H57" i="49"/>
  <c r="J57" i="49"/>
  <c r="G57" i="49"/>
  <c r="F57" i="49"/>
  <c r="M52" i="49"/>
  <c r="L56" i="49"/>
  <c r="L58" i="49"/>
  <c r="L60" i="49"/>
  <c r="D36" i="51" s="1"/>
  <c r="L57" i="49"/>
  <c r="L59" i="49"/>
  <c r="L61" i="49"/>
  <c r="L66" i="49"/>
  <c r="L64" i="49"/>
  <c r="L67" i="49"/>
  <c r="L63" i="49"/>
  <c r="L62" i="49"/>
  <c r="L65" i="49"/>
  <c r="D40" i="47"/>
  <c r="B13" i="50" s="1"/>
  <c r="D38" i="47"/>
  <c r="B11" i="50" s="1"/>
  <c r="H31" i="47"/>
  <c r="J31" i="47"/>
  <c r="C39" i="47"/>
  <c r="I60" i="47"/>
  <c r="D33" i="50" s="1"/>
  <c r="C30" i="51" l="1"/>
  <c r="D12" i="51"/>
  <c r="B29" i="51"/>
  <c r="E39" i="49"/>
  <c r="C29" i="51" s="1"/>
  <c r="E40" i="49"/>
  <c r="E37" i="49"/>
  <c r="E42" i="49"/>
  <c r="E38" i="49"/>
  <c r="E41" i="49"/>
  <c r="K31" i="47"/>
  <c r="B34" i="50"/>
  <c r="G31" i="47"/>
  <c r="B32" i="50"/>
  <c r="D45" i="49"/>
  <c r="B17" i="51"/>
  <c r="L44" i="49"/>
  <c r="G44" i="49"/>
  <c r="J44" i="49"/>
  <c r="K44" i="49"/>
  <c r="F44" i="49"/>
  <c r="D17" i="51" s="1"/>
  <c r="E44" i="49"/>
  <c r="H44" i="49"/>
  <c r="I44" i="49"/>
  <c r="C17" i="51" s="1"/>
  <c r="C44" i="49"/>
  <c r="M44" i="49"/>
  <c r="B8" i="51"/>
  <c r="E35" i="49"/>
  <c r="J35" i="49"/>
  <c r="I35" i="49"/>
  <c r="C8" i="51" s="1"/>
  <c r="F35" i="49"/>
  <c r="D8" i="51" s="1"/>
  <c r="D34" i="49"/>
  <c r="K35" i="49"/>
  <c r="L35" i="49"/>
  <c r="G35" i="49"/>
  <c r="H35" i="49"/>
  <c r="C35" i="49"/>
  <c r="M35" i="49"/>
  <c r="I39" i="47"/>
  <c r="H39" i="47"/>
  <c r="C32" i="50" s="1"/>
  <c r="J39" i="47"/>
  <c r="C34" i="50" s="1"/>
  <c r="G39" i="47"/>
  <c r="C31" i="50" s="1"/>
  <c r="K39" i="47"/>
  <c r="C35" i="50" s="1"/>
  <c r="N40" i="47"/>
  <c r="O40" i="47" s="1"/>
  <c r="J40" i="47"/>
  <c r="C40" i="47"/>
  <c r="D65" i="47"/>
  <c r="N64" i="47"/>
  <c r="O64" i="47" s="1"/>
  <c r="D37" i="47"/>
  <c r="B10" i="50" s="1"/>
  <c r="N38" i="47"/>
  <c r="O38" i="47" s="1"/>
  <c r="D41" i="47"/>
  <c r="B14" i="50" s="1"/>
  <c r="D55" i="47"/>
  <c r="N56" i="47"/>
  <c r="O56" i="47" s="1"/>
  <c r="D55" i="49"/>
  <c r="I56" i="49"/>
  <c r="C56" i="49"/>
  <c r="F56" i="49"/>
  <c r="J56" i="49"/>
  <c r="H56" i="49"/>
  <c r="G56" i="49"/>
  <c r="E56" i="49"/>
  <c r="K56" i="49"/>
  <c r="M59" i="49"/>
  <c r="M57" i="49"/>
  <c r="M61" i="49"/>
  <c r="M66" i="49"/>
  <c r="M58" i="49"/>
  <c r="M64" i="49"/>
  <c r="M67" i="49"/>
  <c r="M63" i="49"/>
  <c r="M60" i="49"/>
  <c r="D37" i="51" s="1"/>
  <c r="M56" i="49"/>
  <c r="M62" i="49"/>
  <c r="M65" i="49"/>
  <c r="H60" i="47"/>
  <c r="D32" i="50" s="1"/>
  <c r="K60" i="47"/>
  <c r="D35" i="50" s="1"/>
  <c r="J60" i="47"/>
  <c r="D34" i="50" s="1"/>
  <c r="I61" i="47"/>
  <c r="C60" i="47"/>
  <c r="C38" i="47"/>
  <c r="I59" i="47"/>
  <c r="F31" i="47" l="1"/>
  <c r="B31" i="50"/>
  <c r="L31" i="47"/>
  <c r="B35" i="50"/>
  <c r="B7" i="51"/>
  <c r="F34" i="49"/>
  <c r="D7" i="51" s="1"/>
  <c r="D33" i="49"/>
  <c r="K34" i="49"/>
  <c r="I34" i="49"/>
  <c r="C7" i="51" s="1"/>
  <c r="C34" i="49"/>
  <c r="J34" i="49"/>
  <c r="H34" i="49"/>
  <c r="G34" i="49"/>
  <c r="L34" i="49"/>
  <c r="M34" i="49"/>
  <c r="E34" i="49"/>
  <c r="B18" i="51"/>
  <c r="G45" i="49"/>
  <c r="J45" i="49"/>
  <c r="C45" i="49"/>
  <c r="F45" i="49"/>
  <c r="D18" i="51" s="1"/>
  <c r="D46" i="49"/>
  <c r="K45" i="49"/>
  <c r="L45" i="49"/>
  <c r="H45" i="49"/>
  <c r="I45" i="49"/>
  <c r="C18" i="51" s="1"/>
  <c r="E45" i="49"/>
  <c r="M45" i="49"/>
  <c r="C12" i="50"/>
  <c r="C33" i="50"/>
  <c r="G40" i="47"/>
  <c r="L40" i="47"/>
  <c r="F40" i="47"/>
  <c r="D13" i="50" s="1"/>
  <c r="G38" i="47"/>
  <c r="F38" i="47"/>
  <c r="D11" i="50" s="1"/>
  <c r="I40" i="47"/>
  <c r="C13" i="50" s="1"/>
  <c r="J38" i="47"/>
  <c r="I38" i="47"/>
  <c r="C11" i="50" s="1"/>
  <c r="H38" i="47"/>
  <c r="L38" i="47"/>
  <c r="K38" i="47"/>
  <c r="D36" i="47"/>
  <c r="B9" i="50" s="1"/>
  <c r="N37" i="47"/>
  <c r="O37" i="47" s="1"/>
  <c r="D54" i="47"/>
  <c r="N55" i="47"/>
  <c r="O55" i="47" s="1"/>
  <c r="D66" i="47"/>
  <c r="N65" i="47"/>
  <c r="O65" i="47" s="1"/>
  <c r="K40" i="47"/>
  <c r="H40" i="47"/>
  <c r="D42" i="47"/>
  <c r="B15" i="50" s="1"/>
  <c r="N41" i="47"/>
  <c r="O41" i="47" s="1"/>
  <c r="C41" i="47"/>
  <c r="D54" i="49"/>
  <c r="I55" i="49"/>
  <c r="C55" i="49"/>
  <c r="J55" i="49"/>
  <c r="E55" i="49"/>
  <c r="H55" i="49"/>
  <c r="F55" i="49"/>
  <c r="G55" i="49"/>
  <c r="K55" i="49"/>
  <c r="L55" i="49"/>
  <c r="M55" i="49"/>
  <c r="J59" i="47"/>
  <c r="K59" i="47"/>
  <c r="H59" i="47"/>
  <c r="J61" i="47"/>
  <c r="K61" i="47"/>
  <c r="H61" i="47"/>
  <c r="L61" i="47"/>
  <c r="L59" i="47"/>
  <c r="L60" i="47"/>
  <c r="D36" i="50" s="1"/>
  <c r="G60" i="47"/>
  <c r="D31" i="50" s="1"/>
  <c r="G61" i="47"/>
  <c r="G59" i="47"/>
  <c r="L58" i="47"/>
  <c r="C59" i="47"/>
  <c r="C37" i="47"/>
  <c r="L62" i="47"/>
  <c r="C61" i="47"/>
  <c r="M31" i="47" l="1"/>
  <c r="M37" i="47" s="1"/>
  <c r="B36" i="50"/>
  <c r="L39" i="47"/>
  <c r="C36" i="50" s="1"/>
  <c r="E31" i="47"/>
  <c r="B30" i="50"/>
  <c r="F39" i="47"/>
  <c r="G41" i="47"/>
  <c r="B6" i="51"/>
  <c r="L33" i="49"/>
  <c r="K33" i="49"/>
  <c r="J33" i="49"/>
  <c r="F33" i="49"/>
  <c r="D6" i="51" s="1"/>
  <c r="C33" i="49"/>
  <c r="H33" i="49"/>
  <c r="D32" i="49"/>
  <c r="G33" i="49"/>
  <c r="E33" i="49"/>
  <c r="I33" i="49"/>
  <c r="C6" i="51" s="1"/>
  <c r="M33" i="49"/>
  <c r="I46" i="49"/>
  <c r="C19" i="51" s="1"/>
  <c r="B19" i="51"/>
  <c r="L46" i="49"/>
  <c r="C46" i="49"/>
  <c r="H46" i="49"/>
  <c r="G46" i="49"/>
  <c r="M46" i="49"/>
  <c r="F46" i="49"/>
  <c r="D19" i="51" s="1"/>
  <c r="J46" i="49"/>
  <c r="E46" i="49"/>
  <c r="K46" i="49"/>
  <c r="F41" i="47"/>
  <c r="D14" i="50" s="1"/>
  <c r="J41" i="47"/>
  <c r="L41" i="47"/>
  <c r="I41" i="47"/>
  <c r="C14" i="50" s="1"/>
  <c r="K41" i="47"/>
  <c r="E37" i="47"/>
  <c r="H41" i="47"/>
  <c r="E41" i="47"/>
  <c r="H37" i="47"/>
  <c r="D43" i="47"/>
  <c r="N42" i="47"/>
  <c r="O42" i="47" s="1"/>
  <c r="D67" i="47"/>
  <c r="N67" i="47" s="1"/>
  <c r="O67" i="47" s="1"/>
  <c r="N66" i="47"/>
  <c r="O66" i="47" s="1"/>
  <c r="C42" i="47"/>
  <c r="K37" i="47"/>
  <c r="D35" i="47"/>
  <c r="B8" i="50" s="1"/>
  <c r="N36" i="47"/>
  <c r="O36" i="47" s="1"/>
  <c r="D53" i="47"/>
  <c r="N53" i="47" s="1"/>
  <c r="O53" i="47" s="1"/>
  <c r="N54" i="47"/>
  <c r="O54" i="47" s="1"/>
  <c r="G37" i="47"/>
  <c r="J37" i="47"/>
  <c r="F37" i="47"/>
  <c r="D10" i="50" s="1"/>
  <c r="I37" i="47"/>
  <c r="C10" i="50" s="1"/>
  <c r="L37" i="47"/>
  <c r="I54" i="49"/>
  <c r="H54" i="49"/>
  <c r="E54" i="49"/>
  <c r="G54" i="49"/>
  <c r="J54" i="49"/>
  <c r="D53" i="49"/>
  <c r="F54" i="49"/>
  <c r="C54" i="49"/>
  <c r="K54" i="49"/>
  <c r="L54" i="49"/>
  <c r="M54" i="49"/>
  <c r="G62" i="47"/>
  <c r="I62" i="47"/>
  <c r="K62" i="47"/>
  <c r="H62" i="47"/>
  <c r="J62" i="47"/>
  <c r="I58" i="47"/>
  <c r="H58" i="47"/>
  <c r="K58" i="47"/>
  <c r="J58" i="47"/>
  <c r="G58" i="47"/>
  <c r="M62" i="47"/>
  <c r="M60" i="47"/>
  <c r="D37" i="50" s="1"/>
  <c r="M58" i="47"/>
  <c r="M61" i="47"/>
  <c r="M59" i="47"/>
  <c r="F61" i="47"/>
  <c r="F62" i="47"/>
  <c r="F60" i="47"/>
  <c r="D30" i="50" s="1"/>
  <c r="F58" i="47"/>
  <c r="F59" i="47"/>
  <c r="C62" i="47"/>
  <c r="C36" i="47"/>
  <c r="F57" i="47"/>
  <c r="C58" i="47"/>
  <c r="D12" i="50" l="1"/>
  <c r="C30" i="50"/>
  <c r="B37" i="50"/>
  <c r="M39" i="47"/>
  <c r="C37" i="50" s="1"/>
  <c r="M40" i="47"/>
  <c r="M38" i="47"/>
  <c r="B29" i="50"/>
  <c r="E39" i="47"/>
  <c r="C29" i="50" s="1"/>
  <c r="E40" i="47"/>
  <c r="E38" i="47"/>
  <c r="M41" i="47"/>
  <c r="B5" i="51"/>
  <c r="H32" i="49"/>
  <c r="L32" i="49"/>
  <c r="K32" i="49"/>
  <c r="J32" i="49"/>
  <c r="E32" i="49"/>
  <c r="G32" i="49"/>
  <c r="F32" i="49"/>
  <c r="D5" i="51" s="1"/>
  <c r="C32" i="49"/>
  <c r="M32" i="49"/>
  <c r="I32" i="49"/>
  <c r="C5" i="51" s="1"/>
  <c r="C43" i="47"/>
  <c r="B16" i="50"/>
  <c r="J36" i="47"/>
  <c r="M36" i="47"/>
  <c r="G42" i="47"/>
  <c r="E42" i="47"/>
  <c r="L36" i="47"/>
  <c r="G36" i="47"/>
  <c r="D34" i="47"/>
  <c r="N35" i="47"/>
  <c r="O35" i="47" s="1"/>
  <c r="L42" i="47"/>
  <c r="M42" i="47"/>
  <c r="D44" i="47"/>
  <c r="N43" i="47"/>
  <c r="O43" i="47" s="1"/>
  <c r="I43" i="47"/>
  <c r="C16" i="50" s="1"/>
  <c r="E43" i="47"/>
  <c r="E36" i="47"/>
  <c r="H36" i="47"/>
  <c r="F42" i="47"/>
  <c r="D15" i="50" s="1"/>
  <c r="K42" i="47"/>
  <c r="I36" i="47"/>
  <c r="C9" i="50" s="1"/>
  <c r="F36" i="47"/>
  <c r="D9" i="50" s="1"/>
  <c r="K36" i="47"/>
  <c r="I42" i="47"/>
  <c r="C15" i="50" s="1"/>
  <c r="J42" i="47"/>
  <c r="H42" i="47"/>
  <c r="J53" i="49"/>
  <c r="C53" i="49"/>
  <c r="E53" i="49"/>
  <c r="L53" i="49"/>
  <c r="H53" i="49"/>
  <c r="K53" i="49"/>
  <c r="F53" i="49"/>
  <c r="G53" i="49"/>
  <c r="I53" i="49"/>
  <c r="M53" i="49"/>
  <c r="M57" i="47"/>
  <c r="I57" i="47"/>
  <c r="H57" i="47"/>
  <c r="K57" i="47"/>
  <c r="J57" i="47"/>
  <c r="L57" i="47"/>
  <c r="G57" i="47"/>
  <c r="I63" i="47"/>
  <c r="H63" i="47"/>
  <c r="K63" i="47"/>
  <c r="J63" i="47"/>
  <c r="G63" i="47"/>
  <c r="L63" i="47"/>
  <c r="F63" i="47"/>
  <c r="M63" i="47"/>
  <c r="E63" i="47"/>
  <c r="E59" i="47"/>
  <c r="E62" i="47"/>
  <c r="E60" i="47"/>
  <c r="D29" i="50" s="1"/>
  <c r="E58" i="47"/>
  <c r="E61" i="47"/>
  <c r="E57" i="47"/>
  <c r="C57" i="47"/>
  <c r="C35" i="47"/>
  <c r="C63" i="47"/>
  <c r="B7" i="50" l="1"/>
  <c r="C44" i="47"/>
  <c r="B17" i="50"/>
  <c r="F43" i="47"/>
  <c r="D16" i="50" s="1"/>
  <c r="M35" i="47"/>
  <c r="H35" i="47"/>
  <c r="L35" i="47"/>
  <c r="K43" i="47"/>
  <c r="K35" i="47"/>
  <c r="G35" i="47"/>
  <c r="G43" i="47"/>
  <c r="E35" i="47"/>
  <c r="I35" i="47"/>
  <c r="C8" i="50" s="1"/>
  <c r="M43" i="47"/>
  <c r="J43" i="47"/>
  <c r="D45" i="47"/>
  <c r="N44" i="47"/>
  <c r="O44" i="47" s="1"/>
  <c r="H43" i="47"/>
  <c r="L43" i="47"/>
  <c r="F35" i="47"/>
  <c r="D8" i="50" s="1"/>
  <c r="J35" i="47"/>
  <c r="D33" i="47"/>
  <c r="B6" i="50" s="1"/>
  <c r="N34" i="47"/>
  <c r="O34" i="47" s="1"/>
  <c r="I64" i="47"/>
  <c r="J64" i="47"/>
  <c r="H64" i="47"/>
  <c r="K64" i="47"/>
  <c r="L64" i="47"/>
  <c r="G64" i="47"/>
  <c r="M64" i="47"/>
  <c r="F64" i="47"/>
  <c r="I56" i="47"/>
  <c r="H56" i="47"/>
  <c r="J56" i="47"/>
  <c r="K56" i="47"/>
  <c r="L56" i="47"/>
  <c r="G56" i="47"/>
  <c r="M56" i="47"/>
  <c r="F56" i="47"/>
  <c r="E56" i="47"/>
  <c r="E64" i="47"/>
  <c r="C64" i="47"/>
  <c r="C34" i="47"/>
  <c r="C56" i="47"/>
  <c r="E34" i="47" l="1"/>
  <c r="C45" i="47"/>
  <c r="B18" i="50"/>
  <c r="K44" i="47"/>
  <c r="L44" i="47"/>
  <c r="M44" i="47"/>
  <c r="L34" i="47"/>
  <c r="J34" i="47"/>
  <c r="F34" i="47"/>
  <c r="D7" i="50" s="1"/>
  <c r="F44" i="47"/>
  <c r="D17" i="50" s="1"/>
  <c r="K34" i="47"/>
  <c r="H34" i="47"/>
  <c r="J44" i="47"/>
  <c r="I34" i="47"/>
  <c r="C7" i="50" s="1"/>
  <c r="M34" i="47"/>
  <c r="G34" i="47"/>
  <c r="E44" i="47"/>
  <c r="H44" i="47"/>
  <c r="D32" i="47"/>
  <c r="N33" i="47"/>
  <c r="O33" i="47" s="1"/>
  <c r="I44" i="47"/>
  <c r="C17" i="50" s="1"/>
  <c r="G44" i="47"/>
  <c r="D46" i="47"/>
  <c r="B19" i="50" s="1"/>
  <c r="N45" i="47"/>
  <c r="O45" i="47" s="1"/>
  <c r="I55" i="47"/>
  <c r="H55" i="47"/>
  <c r="K55" i="47"/>
  <c r="J55" i="47"/>
  <c r="G55" i="47"/>
  <c r="L55" i="47"/>
  <c r="M55" i="47"/>
  <c r="F55" i="47"/>
  <c r="E55" i="47"/>
  <c r="I65" i="47"/>
  <c r="H65" i="47"/>
  <c r="K65" i="47"/>
  <c r="J65" i="47"/>
  <c r="L65" i="47"/>
  <c r="G65" i="47"/>
  <c r="M65" i="47"/>
  <c r="F65" i="47"/>
  <c r="E65" i="47"/>
  <c r="C55" i="47"/>
  <c r="C33" i="47"/>
  <c r="C65" i="47"/>
  <c r="N32" i="47" l="1"/>
  <c r="L32" i="47" s="1"/>
  <c r="B5" i="50"/>
  <c r="E45" i="47"/>
  <c r="H45" i="47"/>
  <c r="J33" i="47"/>
  <c r="K33" i="47"/>
  <c r="M45" i="47"/>
  <c r="K45" i="47"/>
  <c r="G45" i="47"/>
  <c r="F45" i="47"/>
  <c r="D18" i="50" s="1"/>
  <c r="I45" i="47"/>
  <c r="C18" i="50" s="1"/>
  <c r="J45" i="47"/>
  <c r="L45" i="47"/>
  <c r="N46" i="47"/>
  <c r="O46" i="47" s="1"/>
  <c r="I33" i="47"/>
  <c r="C6" i="50" s="1"/>
  <c r="E33" i="47"/>
  <c r="F33" i="47"/>
  <c r="D6" i="50" s="1"/>
  <c r="M33" i="47"/>
  <c r="C46" i="47"/>
  <c r="H33" i="47"/>
  <c r="L33" i="47"/>
  <c r="G33" i="47"/>
  <c r="I54" i="47"/>
  <c r="K54" i="47"/>
  <c r="H54" i="47"/>
  <c r="J54" i="47"/>
  <c r="L54" i="47"/>
  <c r="G54" i="47"/>
  <c r="M54" i="47"/>
  <c r="F54" i="47"/>
  <c r="E54" i="47"/>
  <c r="I66" i="47"/>
  <c r="H66" i="47"/>
  <c r="K66" i="47"/>
  <c r="J66" i="47"/>
  <c r="G66" i="47"/>
  <c r="L66" i="47"/>
  <c r="M66" i="47"/>
  <c r="F66" i="47"/>
  <c r="E66" i="47"/>
  <c r="C32" i="47"/>
  <c r="C66" i="47"/>
  <c r="C54" i="47"/>
  <c r="J46" i="47" l="1"/>
  <c r="I46" i="47"/>
  <c r="C19" i="50" s="1"/>
  <c r="H46" i="47"/>
  <c r="E46" i="47"/>
  <c r="J32" i="47"/>
  <c r="F46" i="47"/>
  <c r="D19" i="50" s="1"/>
  <c r="E53" i="47"/>
  <c r="O32" i="47"/>
  <c r="M32" i="47"/>
  <c r="F32" i="47"/>
  <c r="D5" i="50" s="1"/>
  <c r="E32" i="47"/>
  <c r="I32" i="47"/>
  <c r="C5" i="50" s="1"/>
  <c r="H32" i="47"/>
  <c r="G46" i="47"/>
  <c r="L46" i="47"/>
  <c r="K32" i="47"/>
  <c r="G32" i="47"/>
  <c r="M46" i="47"/>
  <c r="K46" i="47"/>
  <c r="H53" i="47"/>
  <c r="F53" i="47"/>
  <c r="I53" i="47"/>
  <c r="K53" i="47"/>
  <c r="J53" i="47"/>
  <c r="L53" i="47"/>
  <c r="G53" i="47"/>
  <c r="M53" i="47"/>
  <c r="I67" i="47"/>
  <c r="H67" i="47"/>
  <c r="K67" i="47"/>
  <c r="J67" i="47"/>
  <c r="G67" i="47"/>
  <c r="L67" i="47"/>
  <c r="M67" i="47"/>
  <c r="F67" i="47"/>
  <c r="E67" i="47"/>
  <c r="C53" i="47"/>
  <c r="C67" i="47"/>
</calcChain>
</file>

<file path=xl/sharedStrings.xml><?xml version="1.0" encoding="utf-8"?>
<sst xmlns="http://schemas.openxmlformats.org/spreadsheetml/2006/main" count="181" uniqueCount="83">
  <si>
    <t>per acre</t>
  </si>
  <si>
    <t>crop share</t>
  </si>
  <si>
    <t>Rice Yield (lbs/acre)</t>
  </si>
  <si>
    <t>($/cwt.)</t>
  </si>
  <si>
    <t>Rice Share Rent =</t>
  </si>
  <si>
    <t>Rice Cash Rent =</t>
  </si>
  <si>
    <t>Expected Rice Yield =</t>
  </si>
  <si>
    <t>$/cwt.</t>
  </si>
  <si>
    <t>lbs./acre</t>
  </si>
  <si>
    <t>per barrel</t>
  </si>
  <si>
    <t>barrels/acre</t>
  </si>
  <si>
    <t>(dry yield basis)</t>
  </si>
  <si>
    <t>Custom</t>
  </si>
  <si>
    <t>Fertilizer</t>
  </si>
  <si>
    <t>Herbicides</t>
  </si>
  <si>
    <t>Seed</t>
  </si>
  <si>
    <t>Labor</t>
  </si>
  <si>
    <t>Fuel &amp; Repairs</t>
  </si>
  <si>
    <t>Irrigation Pumping</t>
  </si>
  <si>
    <t>Other Variable Costs</t>
  </si>
  <si>
    <t>Rice Drying Charge</t>
  </si>
  <si>
    <t>Rice Hauling Charge</t>
  </si>
  <si>
    <t>per planted acre</t>
  </si>
  <si>
    <t>only under crop share arrangements; no payment share under cash leases)</t>
  </si>
  <si>
    <t>Cell values in blue for price, yield, costs, and other factors can be changed by the user.</t>
  </si>
  <si>
    <t>Positive net return values are highlighted in yellow.</t>
  </si>
  <si>
    <t>per cwt.</t>
  </si>
  <si>
    <t>($/bbl)</t>
  </si>
  <si>
    <t>Rice Market Price</t>
  </si>
  <si>
    <t>Department of Agricultural Economics and Agribusiness, LSU Agricultural Center</t>
  </si>
  <si>
    <t>Landlord</t>
  </si>
  <si>
    <t>Grower</t>
  </si>
  <si>
    <t>Percent of Costs Paid By:</t>
  </si>
  <si>
    <t>Land Tract Name/Number =</t>
  </si>
  <si>
    <t>Rice Land Tract No. 1</t>
  </si>
  <si>
    <t>(Assumption that any govt. program payments are shared with landlord</t>
  </si>
  <si>
    <t>per planted rice acre</t>
  </si>
  <si>
    <t>Rice Farm Program Payment =</t>
  </si>
  <si>
    <t>Values in the table represent net returns above specified costs per planted rice acre.</t>
  </si>
  <si>
    <t>Estimation of Rice Grower and Landlord Net Returns Above Specified Costs per Planted Rice Acre</t>
  </si>
  <si>
    <t>Estimated Grower Net Returns Above Specified Costs Per Planted Rice Acre</t>
  </si>
  <si>
    <t>Estimated Landlord Net Returns Above Specified Costs Per Planted Rice Acre</t>
  </si>
  <si>
    <t>Fungicides, Insecticides</t>
  </si>
  <si>
    <t>To enter alternate charges for drying and/or hauling, enter zero values</t>
  </si>
  <si>
    <t>in the cells above and enter a cost per acre in the cost table to the right</t>
  </si>
  <si>
    <t>Fixed Costs</t>
  </si>
  <si>
    <t>Overhead Costs</t>
  </si>
  <si>
    <t>Other Costs</t>
  </si>
  <si>
    <t>Total Specified Costs</t>
  </si>
  <si>
    <t>and the landlord for their proportionate crop shares.</t>
  </si>
  <si>
    <t>Drying and hauling rates entered below will be charged to the grower</t>
  </si>
  <si>
    <t>Costs Per Planted Acre</t>
  </si>
  <si>
    <t>Projected Rice Production</t>
  </si>
  <si>
    <t>Proportionate total specified costs =&gt;</t>
  </si>
  <si>
    <t>Land Tract name or number</t>
  </si>
  <si>
    <t>lbs./program acre</t>
  </si>
  <si>
    <t>Updated Rice Program Yield =</t>
  </si>
  <si>
    <t>(Farm program payments are shared with landlord only for crop share</t>
  </si>
  <si>
    <t>lease arrangements; no payment share under cash leases)</t>
  </si>
  <si>
    <t>Price Loss Coverage (PLC) Reference Price =</t>
  </si>
  <si>
    <t>Rice Acres Planted on this tract =</t>
  </si>
  <si>
    <t>Total Rice Base Acres on this tract =</t>
  </si>
  <si>
    <t>planted acres</t>
  </si>
  <si>
    <t>rice base acres</t>
  </si>
  <si>
    <t>($/cwt)</t>
  </si>
  <si>
    <t>PLC Program</t>
  </si>
  <si>
    <t>Payment Rate</t>
  </si>
  <si>
    <t>Net return estimates include Price Loss Coverage Program payments on 85% of rice base acres</t>
  </si>
  <si>
    <t>Values in the table represent net returns above specified costs per planted rice acre.  Positive net return values are highlighted in yellow.</t>
  </si>
  <si>
    <t>Expected Rice Price (MYA) =</t>
  </si>
  <si>
    <t>Expected Rice Price Received =</t>
  </si>
  <si>
    <t>Price ($/cwt)</t>
  </si>
  <si>
    <t>GRW</t>
  </si>
  <si>
    <t>LLD</t>
  </si>
  <si>
    <t>GRW Returns  ($/ac)</t>
  </si>
  <si>
    <t>LLD Returns ($/ac)</t>
  </si>
  <si>
    <t>Base Yield of</t>
  </si>
  <si>
    <t>Cell values are referenced from the previous worksheet. Graph results will adjust subject to the input parameters.</t>
  </si>
  <si>
    <t>Base Price of</t>
  </si>
  <si>
    <t>Yield (cwt/ac)</t>
  </si>
  <si>
    <t>Developed by Michael Deliberto</t>
  </si>
  <si>
    <t>Estimated Rice Net Returns With the "Price Loss Coverage (PLC) Program" in the 2018 Farm Bill</t>
  </si>
  <si>
    <t>1/1/2021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</si>
</sst>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rgb="FF0000CC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8D85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5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1" fillId="2" borderId="0" xfId="0" applyNumberFormat="1" applyFont="1" applyFill="1" applyBorder="1"/>
    <xf numFmtId="166" fontId="1" fillId="2" borderId="0" xfId="0" applyNumberFormat="1" applyFont="1" applyFill="1" applyBorder="1"/>
    <xf numFmtId="0" fontId="11" fillId="2" borderId="0" xfId="0" quotePrefix="1" applyFont="1" applyFill="1" applyBorder="1" applyAlignment="1">
      <alignment horizontal="right"/>
    </xf>
    <xf numFmtId="165" fontId="3" fillId="2" borderId="9" xfId="0" applyNumberFormat="1" applyFont="1" applyFill="1" applyBorder="1"/>
    <xf numFmtId="0" fontId="11" fillId="2" borderId="0" xfId="0" quotePrefix="1" applyFont="1" applyFill="1" applyBorder="1" applyAlignment="1">
      <alignment horizontal="left"/>
    </xf>
    <xf numFmtId="0" fontId="10" fillId="2" borderId="0" xfId="0" applyFont="1" applyFill="1" applyBorder="1"/>
    <xf numFmtId="0" fontId="12" fillId="0" borderId="0" xfId="0" applyFont="1"/>
    <xf numFmtId="164" fontId="7" fillId="2" borderId="4" xfId="0" applyNumberFormat="1" applyFont="1" applyFill="1" applyBorder="1"/>
    <xf numFmtId="0" fontId="13" fillId="2" borderId="4" xfId="0" applyFont="1" applyFill="1" applyBorder="1" applyAlignment="1">
      <alignment horizontal="right"/>
    </xf>
    <xf numFmtId="0" fontId="2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5" fontId="1" fillId="0" borderId="1" xfId="0" applyNumberFormat="1" applyFont="1" applyFill="1" applyBorder="1"/>
    <xf numFmtId="165" fontId="1" fillId="0" borderId="0" xfId="0" applyNumberFormat="1" applyFont="1" applyFill="1" applyBorder="1"/>
    <xf numFmtId="165" fontId="1" fillId="0" borderId="4" xfId="0" applyNumberFormat="1" applyFont="1" applyFill="1" applyBorder="1"/>
    <xf numFmtId="165" fontId="1" fillId="0" borderId="6" xfId="0" applyNumberFormat="1" applyFont="1" applyFill="1" applyBorder="1"/>
    <xf numFmtId="165" fontId="1" fillId="0" borderId="2" xfId="0" applyNumberFormat="1" applyFont="1" applyFill="1" applyBorder="1"/>
    <xf numFmtId="165" fontId="1" fillId="0" borderId="3" xfId="0" applyNumberFormat="1" applyFont="1" applyFill="1" applyBorder="1"/>
    <xf numFmtId="165" fontId="1" fillId="0" borderId="5" xfId="0" applyNumberFormat="1" applyFont="1" applyFill="1" applyBorder="1"/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0" fontId="10" fillId="2" borderId="10" xfId="0" applyFont="1" applyFill="1" applyBorder="1"/>
    <xf numFmtId="0" fontId="1" fillId="2" borderId="10" xfId="0" applyFont="1" applyFill="1" applyBorder="1"/>
    <xf numFmtId="2" fontId="1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10" xfId="0" applyNumberFormat="1" applyFont="1" applyFill="1" applyBorder="1"/>
    <xf numFmtId="165" fontId="1" fillId="0" borderId="11" xfId="0" applyNumberFormat="1" applyFont="1" applyFill="1" applyBorder="1"/>
    <xf numFmtId="164" fontId="9" fillId="2" borderId="12" xfId="0" applyNumberFormat="1" applyFont="1" applyFill="1" applyBorder="1"/>
    <xf numFmtId="3" fontId="9" fillId="2" borderId="13" xfId="0" applyNumberFormat="1" applyFont="1" applyFill="1" applyBorder="1"/>
    <xf numFmtId="0" fontId="14" fillId="2" borderId="0" xfId="0" applyFont="1" applyFill="1" applyBorder="1" applyAlignment="1">
      <alignment horizontal="right"/>
    </xf>
    <xf numFmtId="0" fontId="2" fillId="2" borderId="14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4" fillId="2" borderId="19" xfId="0" applyFont="1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4" fillId="2" borderId="9" xfId="0" applyFont="1" applyFill="1" applyBorder="1" applyAlignment="1">
      <alignment horizontal="right"/>
    </xf>
    <xf numFmtId="9" fontId="3" fillId="2" borderId="14" xfId="0" applyNumberFormat="1" applyFont="1" applyFill="1" applyBorder="1" applyAlignment="1">
      <alignment horizontal="center"/>
    </xf>
    <xf numFmtId="9" fontId="3" fillId="2" borderId="17" xfId="0" applyNumberFormat="1" applyFont="1" applyFill="1" applyBorder="1" applyAlignment="1">
      <alignment horizontal="center"/>
    </xf>
    <xf numFmtId="9" fontId="3" fillId="2" borderId="19" xfId="0" applyNumberFormat="1" applyFont="1" applyFill="1" applyBorder="1" applyAlignment="1">
      <alignment horizontal="center"/>
    </xf>
    <xf numFmtId="9" fontId="1" fillId="2" borderId="15" xfId="0" applyNumberFormat="1" applyFont="1" applyFill="1" applyBorder="1" applyAlignment="1">
      <alignment horizontal="center"/>
    </xf>
    <xf numFmtId="9" fontId="1" fillId="2" borderId="0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14" fillId="2" borderId="9" xfId="0" applyFont="1" applyFill="1" applyBorder="1" applyAlignment="1">
      <alignment horizontal="right"/>
    </xf>
    <xf numFmtId="164" fontId="2" fillId="2" borderId="20" xfId="0" applyNumberFormat="1" applyFont="1" applyFill="1" applyBorder="1" applyAlignment="1">
      <alignment horizontal="right"/>
    </xf>
    <xf numFmtId="0" fontId="1" fillId="2" borderId="14" xfId="0" applyFont="1" applyFill="1" applyBorder="1"/>
    <xf numFmtId="164" fontId="2" fillId="2" borderId="16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/>
    <xf numFmtId="0" fontId="15" fillId="2" borderId="10" xfId="0" quotePrefix="1" applyFont="1" applyFill="1" applyBorder="1" applyAlignment="1">
      <alignment horizontal="right"/>
    </xf>
    <xf numFmtId="165" fontId="15" fillId="2" borderId="10" xfId="0" applyNumberFormat="1" applyFont="1" applyFill="1" applyBorder="1" applyAlignment="1">
      <alignment horizontal="center"/>
    </xf>
    <xf numFmtId="165" fontId="15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right"/>
    </xf>
    <xf numFmtId="0" fontId="15" fillId="2" borderId="10" xfId="0" applyNumberFormat="1" applyFont="1" applyFill="1" applyBorder="1" applyAlignment="1">
      <alignment horizontal="center"/>
    </xf>
    <xf numFmtId="0" fontId="1" fillId="4" borderId="4" xfId="0" applyFont="1" applyFill="1" applyBorder="1"/>
    <xf numFmtId="0" fontId="10" fillId="4" borderId="0" xfId="0" applyFont="1" applyFill="1" applyBorder="1"/>
    <xf numFmtId="0" fontId="2" fillId="4" borderId="0" xfId="0" applyFont="1" applyFill="1" applyBorder="1" applyAlignment="1">
      <alignment horizontal="right"/>
    </xf>
    <xf numFmtId="0" fontId="1" fillId="4" borderId="0" xfId="0" applyFont="1" applyFill="1" applyBorder="1"/>
    <xf numFmtId="3" fontId="3" fillId="4" borderId="0" xfId="0" applyNumberFormat="1" applyFont="1" applyFill="1" applyBorder="1"/>
    <xf numFmtId="0" fontId="1" fillId="4" borderId="1" xfId="0" applyFont="1" applyFill="1" applyBorder="1"/>
    <xf numFmtId="0" fontId="10" fillId="4" borderId="2" xfId="0" applyFont="1" applyFill="1" applyBorder="1"/>
    <xf numFmtId="0" fontId="1" fillId="4" borderId="2" xfId="0" applyFont="1" applyFill="1" applyBorder="1"/>
    <xf numFmtId="0" fontId="2" fillId="4" borderId="2" xfId="0" applyFont="1" applyFill="1" applyBorder="1" applyAlignment="1">
      <alignment horizontal="right"/>
    </xf>
    <xf numFmtId="164" fontId="3" fillId="4" borderId="2" xfId="0" applyNumberFormat="1" applyFont="1" applyFill="1" applyBorder="1"/>
    <xf numFmtId="0" fontId="1" fillId="4" borderId="3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0" fillId="4" borderId="7" xfId="0" applyFont="1" applyFill="1" applyBorder="1"/>
    <xf numFmtId="0" fontId="1" fillId="4" borderId="7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3" fontId="3" fillId="4" borderId="7" xfId="0" applyNumberFormat="1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6" fillId="0" borderId="0" xfId="0" applyFont="1"/>
    <xf numFmtId="0" fontId="0" fillId="5" borderId="0" xfId="0" applyFill="1"/>
    <xf numFmtId="165" fontId="15" fillId="5" borderId="11" xfId="0" applyNumberFormat="1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 wrapText="1"/>
    </xf>
    <xf numFmtId="2" fontId="17" fillId="5" borderId="11" xfId="0" applyNumberFormat="1" applyFont="1" applyFill="1" applyBorder="1" applyAlignment="1">
      <alignment horizontal="center" wrapText="1"/>
    </xf>
    <xf numFmtId="164" fontId="0" fillId="5" borderId="11" xfId="0" applyNumberFormat="1" applyFill="1" applyBorder="1" applyAlignment="1">
      <alignment horizontal="center"/>
    </xf>
    <xf numFmtId="0" fontId="19" fillId="5" borderId="0" xfId="0" applyFont="1" applyFill="1"/>
    <xf numFmtId="3" fontId="20" fillId="5" borderId="11" xfId="0" applyNumberFormat="1" applyFont="1" applyFill="1" applyBorder="1" applyAlignment="1">
      <alignment horizontal="center"/>
    </xf>
    <xf numFmtId="164" fontId="20" fillId="5" borderId="11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1" fontId="0" fillId="5" borderId="0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339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8D85A"/>
      <color rgb="FFFFCC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yield parameter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'!$C$4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'!$B$5:$B$19</c:f>
              <c:numCache>
                <c:formatCode>"$"#,##0.00</c:formatCode>
                <c:ptCount val="15"/>
                <c:pt idx="0">
                  <c:v>10.25</c:v>
                </c:pt>
                <c:pt idx="1">
                  <c:v>10.5</c:v>
                </c:pt>
                <c:pt idx="2">
                  <c:v>10.75</c:v>
                </c:pt>
                <c:pt idx="3">
                  <c:v>11</c:v>
                </c:pt>
                <c:pt idx="4">
                  <c:v>11.25</c:v>
                </c:pt>
                <c:pt idx="5">
                  <c:v>11.5</c:v>
                </c:pt>
                <c:pt idx="6">
                  <c:v>11.75</c:v>
                </c:pt>
                <c:pt idx="7">
                  <c:v>12</c:v>
                </c:pt>
                <c:pt idx="8">
                  <c:v>12.25</c:v>
                </c:pt>
                <c:pt idx="9">
                  <c:v>12.5</c:v>
                </c:pt>
                <c:pt idx="10">
                  <c:v>12.75</c:v>
                </c:pt>
                <c:pt idx="11">
                  <c:v>13</c:v>
                </c:pt>
                <c:pt idx="12">
                  <c:v>13.25</c:v>
                </c:pt>
                <c:pt idx="13">
                  <c:v>13.5</c:v>
                </c:pt>
                <c:pt idx="14">
                  <c:v>13.75</c:v>
                </c:pt>
              </c:numCache>
            </c:numRef>
          </c:xVal>
          <c:yVal>
            <c:numRef>
              <c:f>'Returns Graph at Base Yield-1 '!$C$5:$C$19</c:f>
              <c:numCache>
                <c:formatCode>"$"#,##0.00</c:formatCode>
                <c:ptCount val="15"/>
                <c:pt idx="0">
                  <c:v>151.42500000000001</c:v>
                </c:pt>
                <c:pt idx="1">
                  <c:v>153.69999999999999</c:v>
                </c:pt>
                <c:pt idx="2">
                  <c:v>155.97499999999997</c:v>
                </c:pt>
                <c:pt idx="3">
                  <c:v>158.25000000000006</c:v>
                </c:pt>
                <c:pt idx="4">
                  <c:v>160.52500000000003</c:v>
                </c:pt>
                <c:pt idx="5">
                  <c:v>162.80000000000001</c:v>
                </c:pt>
                <c:pt idx="6">
                  <c:v>165.07499999999999</c:v>
                </c:pt>
                <c:pt idx="7">
                  <c:v>167.34999999999997</c:v>
                </c:pt>
                <c:pt idx="8">
                  <c:v>169.62500000000006</c:v>
                </c:pt>
                <c:pt idx="9">
                  <c:v>171.90000000000003</c:v>
                </c:pt>
                <c:pt idx="10">
                  <c:v>174.17500000000001</c:v>
                </c:pt>
                <c:pt idx="11">
                  <c:v>176.45</c:v>
                </c:pt>
                <c:pt idx="12">
                  <c:v>178.72499999999997</c:v>
                </c:pt>
                <c:pt idx="13">
                  <c:v>181.00000000000006</c:v>
                </c:pt>
                <c:pt idx="14">
                  <c:v>183.27500000000003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5E-4ACC-9A17-87556E046341}"/>
            </c:ext>
          </c:extLst>
        </c:ser>
        <c:ser>
          <c:idx val="1"/>
          <c:order val="1"/>
          <c:tx>
            <c:strRef>
              <c:f>'Returns Graph at Base Yield-1 '!$D$4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'!$B$5:$B$19</c:f>
              <c:numCache>
                <c:formatCode>"$"#,##0.00</c:formatCode>
                <c:ptCount val="15"/>
                <c:pt idx="0">
                  <c:v>10.25</c:v>
                </c:pt>
                <c:pt idx="1">
                  <c:v>10.5</c:v>
                </c:pt>
                <c:pt idx="2">
                  <c:v>10.75</c:v>
                </c:pt>
                <c:pt idx="3">
                  <c:v>11</c:v>
                </c:pt>
                <c:pt idx="4">
                  <c:v>11.25</c:v>
                </c:pt>
                <c:pt idx="5">
                  <c:v>11.5</c:v>
                </c:pt>
                <c:pt idx="6">
                  <c:v>11.75</c:v>
                </c:pt>
                <c:pt idx="7">
                  <c:v>12</c:v>
                </c:pt>
                <c:pt idx="8">
                  <c:v>12.25</c:v>
                </c:pt>
                <c:pt idx="9">
                  <c:v>12.5</c:v>
                </c:pt>
                <c:pt idx="10">
                  <c:v>12.75</c:v>
                </c:pt>
                <c:pt idx="11">
                  <c:v>13</c:v>
                </c:pt>
                <c:pt idx="12">
                  <c:v>13.25</c:v>
                </c:pt>
                <c:pt idx="13">
                  <c:v>13.5</c:v>
                </c:pt>
                <c:pt idx="14">
                  <c:v>13.75</c:v>
                </c:pt>
              </c:numCache>
            </c:numRef>
          </c:xVal>
          <c:yVal>
            <c:numRef>
              <c:f>'Returns Graph at Base Yield-1 '!$D$5:$D$19</c:f>
              <c:numCache>
                <c:formatCode>"$"#,##0.00</c:formatCode>
                <c:ptCount val="15"/>
                <c:pt idx="0">
                  <c:v>103.91250000000002</c:v>
                </c:pt>
                <c:pt idx="1">
                  <c:v>104.87499999999989</c:v>
                </c:pt>
                <c:pt idx="2">
                  <c:v>105.83749999999998</c:v>
                </c:pt>
                <c:pt idx="3">
                  <c:v>106.79999999999995</c:v>
                </c:pt>
                <c:pt idx="4">
                  <c:v>107.76249999999993</c:v>
                </c:pt>
                <c:pt idx="5">
                  <c:v>108.72500000000002</c:v>
                </c:pt>
                <c:pt idx="6">
                  <c:v>109.6875</c:v>
                </c:pt>
                <c:pt idx="7">
                  <c:v>110.64999999999998</c:v>
                </c:pt>
                <c:pt idx="8">
                  <c:v>111.61250000000007</c:v>
                </c:pt>
                <c:pt idx="9">
                  <c:v>112.57500000000005</c:v>
                </c:pt>
                <c:pt idx="10">
                  <c:v>113.53750000000002</c:v>
                </c:pt>
                <c:pt idx="11">
                  <c:v>114.5</c:v>
                </c:pt>
                <c:pt idx="12">
                  <c:v>115.46249999999998</c:v>
                </c:pt>
                <c:pt idx="13">
                  <c:v>116.42500000000007</c:v>
                </c:pt>
                <c:pt idx="14">
                  <c:v>117.38750000000005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5E-4ACC-9A17-87556E046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164192"/>
        <c:axId val="1002164752"/>
      </c:scatterChart>
      <c:valAx>
        <c:axId val="1002164192"/>
        <c:scaling>
          <c:orientation val="minMax"/>
          <c:max val="14"/>
          <c:min val="6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Rice Price ($/cwt)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164752"/>
        <c:crosses val="autoZero"/>
        <c:crossBetween val="midCat"/>
      </c:valAx>
      <c:valAx>
        <c:axId val="100216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16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price (cwt) parameter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'!$C$28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'!$C$29:$C$37</c:f>
              <c:numCache>
                <c:formatCode>"$"#,##0.00</c:formatCode>
                <c:ptCount val="9"/>
                <c:pt idx="0">
                  <c:v>91.749999999999972</c:v>
                </c:pt>
                <c:pt idx="1">
                  <c:v>110.64999999999998</c:v>
                </c:pt>
                <c:pt idx="2">
                  <c:v>129.54999999999998</c:v>
                </c:pt>
                <c:pt idx="3">
                  <c:v>148.44999999999999</c:v>
                </c:pt>
                <c:pt idx="4">
                  <c:v>167.34999999999997</c:v>
                </c:pt>
                <c:pt idx="5">
                  <c:v>186.24999999999997</c:v>
                </c:pt>
                <c:pt idx="6">
                  <c:v>205.14999999999998</c:v>
                </c:pt>
                <c:pt idx="7">
                  <c:v>224.04999999999998</c:v>
                </c:pt>
                <c:pt idx="8">
                  <c:v>242.95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5E-4CDC-89A4-0DF17C45A38F}"/>
            </c:ext>
          </c:extLst>
        </c:ser>
        <c:ser>
          <c:idx val="1"/>
          <c:order val="1"/>
          <c:tx>
            <c:strRef>
              <c:f>'Returns Graph at Base Yield-1 '!$D$28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'!$D$29:$D$37</c:f>
              <c:numCache>
                <c:formatCode>"$"#,##0.00</c:formatCode>
                <c:ptCount val="9"/>
                <c:pt idx="0">
                  <c:v>157.9</c:v>
                </c:pt>
                <c:pt idx="1">
                  <c:v>166</c:v>
                </c:pt>
                <c:pt idx="2">
                  <c:v>174.1</c:v>
                </c:pt>
                <c:pt idx="3">
                  <c:v>182.2</c:v>
                </c:pt>
                <c:pt idx="4">
                  <c:v>190.3</c:v>
                </c:pt>
                <c:pt idx="5">
                  <c:v>198.4</c:v>
                </c:pt>
                <c:pt idx="6">
                  <c:v>206.5</c:v>
                </c:pt>
                <c:pt idx="7">
                  <c:v>214.6</c:v>
                </c:pt>
                <c:pt idx="8">
                  <c:v>222.7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5E-4CDC-89A4-0DF17C45A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5457632"/>
        <c:axId val="815458192"/>
      </c:scatterChart>
      <c:valAx>
        <c:axId val="815457632"/>
        <c:scaling>
          <c:orientation val="minMax"/>
          <c:min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(cwt/ac)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458192"/>
        <c:crosses val="autoZero"/>
        <c:crossBetween val="midCat"/>
        <c:majorUnit val="500"/>
      </c:valAx>
      <c:valAx>
        <c:axId val="81545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457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yield parameter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Yield-2'!$C$4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Yield-2'!$B$5:$B$19</c:f>
              <c:numCache>
                <c:formatCode>"$"#,##0.00</c:formatCode>
                <c:ptCount val="15"/>
                <c:pt idx="0">
                  <c:v>10.25</c:v>
                </c:pt>
                <c:pt idx="1">
                  <c:v>10.5</c:v>
                </c:pt>
                <c:pt idx="2">
                  <c:v>10.75</c:v>
                </c:pt>
                <c:pt idx="3">
                  <c:v>11</c:v>
                </c:pt>
                <c:pt idx="4">
                  <c:v>11.25</c:v>
                </c:pt>
                <c:pt idx="5">
                  <c:v>11.5</c:v>
                </c:pt>
                <c:pt idx="6">
                  <c:v>11.75</c:v>
                </c:pt>
                <c:pt idx="7">
                  <c:v>12</c:v>
                </c:pt>
                <c:pt idx="8">
                  <c:v>12.25</c:v>
                </c:pt>
                <c:pt idx="9">
                  <c:v>12.5</c:v>
                </c:pt>
                <c:pt idx="10">
                  <c:v>12.75</c:v>
                </c:pt>
                <c:pt idx="11">
                  <c:v>13</c:v>
                </c:pt>
                <c:pt idx="12">
                  <c:v>13.25</c:v>
                </c:pt>
                <c:pt idx="13">
                  <c:v>13.5</c:v>
                </c:pt>
                <c:pt idx="14">
                  <c:v>13.75</c:v>
                </c:pt>
              </c:numCache>
            </c:numRef>
          </c:xVal>
          <c:yVal>
            <c:numRef>
              <c:f>'Returns Graph at base Yield-2'!$C$5:$C$19</c:f>
              <c:numCache>
                <c:formatCode>"$"#,##0.00</c:formatCode>
                <c:ptCount val="15"/>
                <c:pt idx="0">
                  <c:v>103.30000000000003</c:v>
                </c:pt>
                <c:pt idx="1">
                  <c:v>115.55000000000003</c:v>
                </c:pt>
                <c:pt idx="2">
                  <c:v>127.80000000000003</c:v>
                </c:pt>
                <c:pt idx="3">
                  <c:v>140.05000000000001</c:v>
                </c:pt>
                <c:pt idx="4">
                  <c:v>152.30000000000001</c:v>
                </c:pt>
                <c:pt idx="5">
                  <c:v>164.55</c:v>
                </c:pt>
                <c:pt idx="6">
                  <c:v>176.8</c:v>
                </c:pt>
                <c:pt idx="7">
                  <c:v>189.05</c:v>
                </c:pt>
                <c:pt idx="8">
                  <c:v>201.3</c:v>
                </c:pt>
                <c:pt idx="9">
                  <c:v>213.55</c:v>
                </c:pt>
                <c:pt idx="10">
                  <c:v>225.8</c:v>
                </c:pt>
                <c:pt idx="11">
                  <c:v>238.05</c:v>
                </c:pt>
                <c:pt idx="12">
                  <c:v>250.3</c:v>
                </c:pt>
                <c:pt idx="13">
                  <c:v>262.55</c:v>
                </c:pt>
                <c:pt idx="14">
                  <c:v>274.8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55-446B-81DE-70E7B63F5C1B}"/>
            </c:ext>
          </c:extLst>
        </c:ser>
        <c:ser>
          <c:idx val="1"/>
          <c:order val="1"/>
          <c:tx>
            <c:strRef>
              <c:f>'Returns Graph at base Yield-2'!$D$4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Yield-2'!$B$5:$B$19</c:f>
              <c:numCache>
                <c:formatCode>"$"#,##0.00</c:formatCode>
                <c:ptCount val="15"/>
                <c:pt idx="0">
                  <c:v>10.25</c:v>
                </c:pt>
                <c:pt idx="1">
                  <c:v>10.5</c:v>
                </c:pt>
                <c:pt idx="2">
                  <c:v>10.75</c:v>
                </c:pt>
                <c:pt idx="3">
                  <c:v>11</c:v>
                </c:pt>
                <c:pt idx="4">
                  <c:v>11.25</c:v>
                </c:pt>
                <c:pt idx="5">
                  <c:v>11.5</c:v>
                </c:pt>
                <c:pt idx="6">
                  <c:v>11.75</c:v>
                </c:pt>
                <c:pt idx="7">
                  <c:v>12</c:v>
                </c:pt>
                <c:pt idx="8">
                  <c:v>12.25</c:v>
                </c:pt>
                <c:pt idx="9">
                  <c:v>12.5</c:v>
                </c:pt>
                <c:pt idx="10">
                  <c:v>12.75</c:v>
                </c:pt>
                <c:pt idx="11">
                  <c:v>13</c:v>
                </c:pt>
                <c:pt idx="12">
                  <c:v>13.25</c:v>
                </c:pt>
                <c:pt idx="13">
                  <c:v>13.5</c:v>
                </c:pt>
                <c:pt idx="14">
                  <c:v>13.75</c:v>
                </c:pt>
              </c:numCache>
            </c:numRef>
          </c:xVal>
          <c:yVal>
            <c:numRef>
              <c:f>'Returns Graph at base Yield-2'!$D$5:$D$19</c:f>
              <c:numCache>
                <c:formatCode>"$"#,##0.00</c:formatCode>
                <c:ptCount val="15"/>
                <c:pt idx="0">
                  <c:v>55.787500000000023</c:v>
                </c:pt>
                <c:pt idx="1">
                  <c:v>66.725000000000023</c:v>
                </c:pt>
                <c:pt idx="2">
                  <c:v>77.662500000000023</c:v>
                </c:pt>
                <c:pt idx="3">
                  <c:v>88.600000000000023</c:v>
                </c:pt>
                <c:pt idx="4">
                  <c:v>99.537500000000023</c:v>
                </c:pt>
                <c:pt idx="5">
                  <c:v>110.47500000000002</c:v>
                </c:pt>
                <c:pt idx="6">
                  <c:v>121.41250000000002</c:v>
                </c:pt>
                <c:pt idx="7">
                  <c:v>132.35000000000002</c:v>
                </c:pt>
                <c:pt idx="8">
                  <c:v>143.28750000000002</c:v>
                </c:pt>
                <c:pt idx="9">
                  <c:v>154.22500000000002</c:v>
                </c:pt>
                <c:pt idx="10">
                  <c:v>165.16250000000002</c:v>
                </c:pt>
                <c:pt idx="11">
                  <c:v>176.10000000000002</c:v>
                </c:pt>
                <c:pt idx="12">
                  <c:v>187.03750000000002</c:v>
                </c:pt>
                <c:pt idx="13">
                  <c:v>197.97500000000002</c:v>
                </c:pt>
                <c:pt idx="14">
                  <c:v>208.91250000000002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55-446B-81DE-70E7B63F5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6794176"/>
        <c:axId val="1006794736"/>
      </c:scatterChart>
      <c:valAx>
        <c:axId val="1006794176"/>
        <c:scaling>
          <c:orientation val="minMax"/>
          <c:max val="14"/>
          <c:min val="6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Rice Price ($/cwt)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794736"/>
        <c:crosses val="autoZero"/>
        <c:crossBetween val="midCat"/>
      </c:valAx>
      <c:valAx>
        <c:axId val="100679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79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price (cwt) parameter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'!$C$28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'!$C$29:$C$37</c:f>
              <c:numCache>
                <c:formatCode>"$"#,##0.00</c:formatCode>
                <c:ptCount val="9"/>
                <c:pt idx="0">
                  <c:v>91.749999999999972</c:v>
                </c:pt>
                <c:pt idx="1">
                  <c:v>110.64999999999998</c:v>
                </c:pt>
                <c:pt idx="2">
                  <c:v>129.54999999999998</c:v>
                </c:pt>
                <c:pt idx="3">
                  <c:v>148.44999999999999</c:v>
                </c:pt>
                <c:pt idx="4">
                  <c:v>167.34999999999997</c:v>
                </c:pt>
                <c:pt idx="5">
                  <c:v>186.24999999999997</c:v>
                </c:pt>
                <c:pt idx="6">
                  <c:v>205.14999999999998</c:v>
                </c:pt>
                <c:pt idx="7">
                  <c:v>224.04999999999998</c:v>
                </c:pt>
                <c:pt idx="8">
                  <c:v>242.95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07-4990-8BEC-FA0192B99B67}"/>
            </c:ext>
          </c:extLst>
        </c:ser>
        <c:ser>
          <c:idx val="1"/>
          <c:order val="1"/>
          <c:tx>
            <c:strRef>
              <c:f>'Returns Graph at Base Yield-1 '!$D$28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6000</c:v>
                </c:pt>
                <c:pt idx="1">
                  <c:v>6250</c:v>
                </c:pt>
                <c:pt idx="2">
                  <c:v>6500</c:v>
                </c:pt>
                <c:pt idx="3">
                  <c:v>6750</c:v>
                </c:pt>
                <c:pt idx="4">
                  <c:v>7000</c:v>
                </c:pt>
                <c:pt idx="5">
                  <c:v>7250</c:v>
                </c:pt>
                <c:pt idx="6">
                  <c:v>7500</c:v>
                </c:pt>
                <c:pt idx="7">
                  <c:v>7750</c:v>
                </c:pt>
                <c:pt idx="8">
                  <c:v>8000</c:v>
                </c:pt>
              </c:numCache>
            </c:numRef>
          </c:xVal>
          <c:yVal>
            <c:numRef>
              <c:f>'Returns Graph at Base Yield-1 '!$D$29:$D$37</c:f>
              <c:numCache>
                <c:formatCode>"$"#,##0.00</c:formatCode>
                <c:ptCount val="9"/>
                <c:pt idx="0">
                  <c:v>157.9</c:v>
                </c:pt>
                <c:pt idx="1">
                  <c:v>166</c:v>
                </c:pt>
                <c:pt idx="2">
                  <c:v>174.1</c:v>
                </c:pt>
                <c:pt idx="3">
                  <c:v>182.2</c:v>
                </c:pt>
                <c:pt idx="4">
                  <c:v>190.3</c:v>
                </c:pt>
                <c:pt idx="5">
                  <c:v>198.4</c:v>
                </c:pt>
                <c:pt idx="6">
                  <c:v>206.5</c:v>
                </c:pt>
                <c:pt idx="7">
                  <c:v>214.6</c:v>
                </c:pt>
                <c:pt idx="8">
                  <c:v>222.7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07-4990-8BEC-FA0192B99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236880"/>
        <c:axId val="1003237440"/>
      </c:scatterChart>
      <c:valAx>
        <c:axId val="1003236880"/>
        <c:scaling>
          <c:orientation val="minMax"/>
          <c:min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(cwt/ac)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237440"/>
        <c:crosses val="autoZero"/>
        <c:crossBetween val="midCat"/>
        <c:majorUnit val="500"/>
      </c:valAx>
      <c:valAx>
        <c:axId val="100323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236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15</xdr:col>
      <xdr:colOff>596900</xdr:colOff>
      <xdr:row>71</xdr:row>
      <xdr:rowOff>93046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051488"/>
          <a:ext cx="1244600" cy="637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128586</xdr:rowOff>
    </xdr:from>
    <xdr:to>
      <xdr:col>16</xdr:col>
      <xdr:colOff>66675</xdr:colOff>
      <xdr:row>18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4762</xdr:rowOff>
    </xdr:from>
    <xdr:to>
      <xdr:col>16</xdr:col>
      <xdr:colOff>57150</xdr:colOff>
      <xdr:row>43</xdr:row>
      <xdr:rowOff>47625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025" y="16105588"/>
          <a:ext cx="1241425" cy="6276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42861</xdr:rowOff>
    </xdr:from>
    <xdr:to>
      <xdr:col>15</xdr:col>
      <xdr:colOff>533400</xdr:colOff>
      <xdr:row>19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42862</xdr:rowOff>
    </xdr:from>
    <xdr:to>
      <xdr:col>16</xdr:col>
      <xdr:colOff>47625</xdr:colOff>
      <xdr:row>43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3"/>
  <sheetViews>
    <sheetView tabSelected="1" zoomScaleNormal="100" workbookViewId="0">
      <selection activeCell="F11" sqref="F11"/>
    </sheetView>
  </sheetViews>
  <sheetFormatPr defaultRowHeight="18.75" x14ac:dyDescent="0.3"/>
  <cols>
    <col min="1" max="1" width="4.140625" style="1" customWidth="1"/>
    <col min="2" max="2" width="9.140625" style="1"/>
    <col min="3" max="3" width="14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3.57031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82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3.25" x14ac:dyDescent="0.35">
      <c r="A3" s="23"/>
      <c r="D3" s="109" t="s">
        <v>81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24</v>
      </c>
      <c r="R4" s="25"/>
    </row>
    <row r="5" spans="1:38" ht="19.5" thickBot="1" x14ac:dyDescent="0.35">
      <c r="A5" s="23"/>
      <c r="C5" s="41" t="s">
        <v>68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39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33</v>
      </c>
      <c r="F7" s="46" t="s">
        <v>34</v>
      </c>
      <c r="G7" s="5"/>
      <c r="H7" s="5"/>
      <c r="I7" s="45"/>
      <c r="J7" s="81"/>
      <c r="K7" s="66"/>
      <c r="L7" s="82" t="s">
        <v>52</v>
      </c>
      <c r="M7" s="65" t="s">
        <v>32</v>
      </c>
      <c r="N7" s="66"/>
      <c r="O7" s="66"/>
      <c r="P7" s="69"/>
      <c r="R7" s="25"/>
    </row>
    <row r="8" spans="1:38" ht="21" hidden="1" x14ac:dyDescent="0.35">
      <c r="A8" s="23"/>
      <c r="C8" s="18"/>
      <c r="D8" s="5"/>
      <c r="E8" s="7" t="s">
        <v>4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5"/>
      <c r="P8" s="19"/>
      <c r="R8" s="25"/>
    </row>
    <row r="9" spans="1:38" ht="21" hidden="1" x14ac:dyDescent="0.35">
      <c r="A9" s="23"/>
      <c r="C9" s="18"/>
      <c r="D9" s="5"/>
      <c r="E9" s="7" t="s">
        <v>5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5"/>
      <c r="P9" s="19"/>
      <c r="R9" s="25"/>
    </row>
    <row r="10" spans="1:38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51</v>
      </c>
      <c r="M10" s="68" t="s">
        <v>30</v>
      </c>
      <c r="N10" s="71" t="s">
        <v>31</v>
      </c>
      <c r="O10" s="71"/>
      <c r="P10" s="70"/>
      <c r="R10" s="25"/>
    </row>
    <row r="11" spans="1:38" x14ac:dyDescent="0.3">
      <c r="A11" s="23"/>
      <c r="C11" s="18"/>
      <c r="D11" s="5"/>
      <c r="E11" s="7" t="s">
        <v>69</v>
      </c>
      <c r="F11" s="10">
        <v>12</v>
      </c>
      <c r="G11" s="5" t="s">
        <v>26</v>
      </c>
      <c r="H11" s="35">
        <f>F11*1.62</f>
        <v>19.440000000000001</v>
      </c>
      <c r="I11" s="5" t="s">
        <v>9</v>
      </c>
      <c r="J11" s="5"/>
      <c r="K11" s="64" t="s">
        <v>12</v>
      </c>
      <c r="L11" s="28">
        <v>67</v>
      </c>
      <c r="M11" s="72">
        <v>0</v>
      </c>
      <c r="N11" s="75">
        <f>1-M11</f>
        <v>1</v>
      </c>
      <c r="O11" s="75"/>
      <c r="P11" s="69"/>
      <c r="R11" s="25"/>
    </row>
    <row r="12" spans="1:38" x14ac:dyDescent="0.3">
      <c r="A12" s="23"/>
      <c r="C12" s="18"/>
      <c r="D12" s="5"/>
      <c r="E12" s="7" t="s">
        <v>6</v>
      </c>
      <c r="F12" s="29">
        <v>7000</v>
      </c>
      <c r="G12" s="5" t="s">
        <v>8</v>
      </c>
      <c r="H12" s="36">
        <f>F12/162</f>
        <v>43.209876543209873</v>
      </c>
      <c r="I12" s="5" t="s">
        <v>10</v>
      </c>
      <c r="J12" s="5"/>
      <c r="K12" s="64" t="s">
        <v>13</v>
      </c>
      <c r="L12" s="28">
        <v>82</v>
      </c>
      <c r="M12" s="73">
        <v>0</v>
      </c>
      <c r="N12" s="76">
        <f>1-M12</f>
        <v>1</v>
      </c>
      <c r="O12" s="76"/>
      <c r="P12" s="19"/>
      <c r="R12" s="25"/>
    </row>
    <row r="13" spans="1:38" x14ac:dyDescent="0.3">
      <c r="A13" s="23"/>
      <c r="C13" s="18"/>
      <c r="D13" s="5"/>
      <c r="E13" s="7"/>
      <c r="F13" s="29"/>
      <c r="G13" s="37" t="s">
        <v>11</v>
      </c>
      <c r="H13" s="5"/>
      <c r="I13" s="5"/>
      <c r="J13" s="5"/>
      <c r="K13" s="64" t="s">
        <v>14</v>
      </c>
      <c r="L13" s="28">
        <v>39</v>
      </c>
      <c r="M13" s="73">
        <v>0</v>
      </c>
      <c r="N13" s="76">
        <f>1-M13</f>
        <v>1</v>
      </c>
      <c r="O13" s="76"/>
      <c r="P13" s="19"/>
      <c r="R13" s="25"/>
    </row>
    <row r="14" spans="1:38" x14ac:dyDescent="0.3">
      <c r="A14" s="23"/>
      <c r="C14" s="18"/>
      <c r="D14" s="5"/>
      <c r="E14" s="7" t="s">
        <v>4</v>
      </c>
      <c r="F14" s="30">
        <v>0.3</v>
      </c>
      <c r="G14" s="5" t="s">
        <v>1</v>
      </c>
      <c r="H14" s="5"/>
      <c r="I14" s="5"/>
      <c r="J14" s="5"/>
      <c r="K14" s="64" t="s">
        <v>42</v>
      </c>
      <c r="L14" s="28">
        <v>13</v>
      </c>
      <c r="M14" s="73">
        <v>0</v>
      </c>
      <c r="N14" s="76">
        <f t="shared" ref="N14:N20" si="0">1-M14</f>
        <v>1</v>
      </c>
      <c r="O14" s="76"/>
      <c r="P14" s="19"/>
      <c r="R14" s="25"/>
    </row>
    <row r="15" spans="1:38" x14ac:dyDescent="0.3">
      <c r="A15" s="23"/>
      <c r="C15" s="18"/>
      <c r="D15" s="5"/>
      <c r="E15" s="7" t="s">
        <v>5</v>
      </c>
      <c r="F15" s="28">
        <v>0</v>
      </c>
      <c r="G15" s="5" t="s">
        <v>0</v>
      </c>
      <c r="H15" s="5"/>
      <c r="I15" s="5"/>
      <c r="J15" s="5"/>
      <c r="K15" s="64" t="s">
        <v>15</v>
      </c>
      <c r="L15" s="28">
        <v>72</v>
      </c>
      <c r="M15" s="73">
        <v>0</v>
      </c>
      <c r="N15" s="76">
        <f t="shared" si="0"/>
        <v>1</v>
      </c>
      <c r="O15" s="76"/>
      <c r="P15" s="19"/>
      <c r="R15" s="25"/>
    </row>
    <row r="16" spans="1:38" x14ac:dyDescent="0.3">
      <c r="A16" s="23"/>
      <c r="C16" s="18"/>
      <c r="D16" s="40" t="s">
        <v>50</v>
      </c>
      <c r="E16" s="7"/>
      <c r="F16" s="14"/>
      <c r="G16" s="5"/>
      <c r="H16" s="5"/>
      <c r="I16" s="5"/>
      <c r="J16" s="5"/>
      <c r="K16" s="64" t="s">
        <v>16</v>
      </c>
      <c r="L16" s="28">
        <v>15.65</v>
      </c>
      <c r="M16" s="73">
        <v>0</v>
      </c>
      <c r="N16" s="76">
        <f t="shared" si="0"/>
        <v>1</v>
      </c>
      <c r="O16" s="76"/>
      <c r="P16" s="19"/>
      <c r="R16" s="25"/>
    </row>
    <row r="17" spans="1:21" x14ac:dyDescent="0.3">
      <c r="A17" s="23"/>
      <c r="C17" s="18"/>
      <c r="D17" s="40" t="s">
        <v>49</v>
      </c>
      <c r="E17" s="7"/>
      <c r="F17" s="5"/>
      <c r="G17" s="5"/>
      <c r="H17" s="5"/>
      <c r="I17" s="5"/>
      <c r="J17" s="7"/>
      <c r="K17" s="64" t="s">
        <v>17</v>
      </c>
      <c r="L17" s="28">
        <v>41</v>
      </c>
      <c r="M17" s="73">
        <v>0</v>
      </c>
      <c r="N17" s="76">
        <f t="shared" si="0"/>
        <v>1</v>
      </c>
      <c r="O17" s="76"/>
      <c r="P17" s="19"/>
      <c r="R17" s="25"/>
    </row>
    <row r="18" spans="1:21" x14ac:dyDescent="0.3">
      <c r="A18" s="23"/>
      <c r="C18" s="18"/>
      <c r="D18" s="5"/>
      <c r="E18" s="7" t="s">
        <v>20</v>
      </c>
      <c r="F18" s="10">
        <v>0.9</v>
      </c>
      <c r="G18" s="5" t="s">
        <v>7</v>
      </c>
      <c r="H18" s="39" t="s">
        <v>11</v>
      </c>
      <c r="I18" s="5"/>
      <c r="J18" s="7"/>
      <c r="K18" s="64" t="s">
        <v>18</v>
      </c>
      <c r="L18" s="28">
        <v>62</v>
      </c>
      <c r="M18" s="73">
        <v>1</v>
      </c>
      <c r="N18" s="76">
        <f t="shared" si="0"/>
        <v>0</v>
      </c>
      <c r="O18" s="76"/>
      <c r="P18" s="19"/>
      <c r="R18" s="25"/>
    </row>
    <row r="19" spans="1:21" x14ac:dyDescent="0.3">
      <c r="A19" s="23"/>
      <c r="C19" s="18"/>
      <c r="D19" s="5"/>
      <c r="E19" s="7" t="s">
        <v>21</v>
      </c>
      <c r="F19" s="10">
        <v>0.3</v>
      </c>
      <c r="G19" s="5" t="s">
        <v>7</v>
      </c>
      <c r="H19" s="39" t="s">
        <v>11</v>
      </c>
      <c r="I19" s="5"/>
      <c r="J19" s="7"/>
      <c r="K19" s="64" t="s">
        <v>19</v>
      </c>
      <c r="L19" s="28">
        <v>5</v>
      </c>
      <c r="M19" s="73">
        <v>0</v>
      </c>
      <c r="N19" s="76">
        <f>1-M19</f>
        <v>1</v>
      </c>
      <c r="O19" s="76"/>
      <c r="P19" s="19"/>
      <c r="R19" s="25"/>
      <c r="T19" s="122"/>
      <c r="U19" s="122"/>
    </row>
    <row r="20" spans="1:21" x14ac:dyDescent="0.3">
      <c r="A20" s="23"/>
      <c r="C20" s="18"/>
      <c r="D20" s="40" t="s">
        <v>43</v>
      </c>
      <c r="E20" s="7"/>
      <c r="F20" s="7"/>
      <c r="G20" s="7"/>
      <c r="H20" s="7"/>
      <c r="I20" s="5"/>
      <c r="J20" s="7"/>
      <c r="K20" s="64" t="s">
        <v>19</v>
      </c>
      <c r="L20" s="28">
        <v>17</v>
      </c>
      <c r="M20" s="73">
        <v>0</v>
      </c>
      <c r="N20" s="76">
        <f t="shared" si="0"/>
        <v>1</v>
      </c>
      <c r="O20" s="76"/>
      <c r="P20" s="19"/>
      <c r="R20" s="25"/>
      <c r="T20" s="123"/>
    </row>
    <row r="21" spans="1:21" ht="19.5" thickBot="1" x14ac:dyDescent="0.35">
      <c r="A21" s="23"/>
      <c r="C21" s="18"/>
      <c r="D21" s="40" t="s">
        <v>44</v>
      </c>
      <c r="E21" s="7"/>
      <c r="F21" s="5"/>
      <c r="G21" s="5"/>
      <c r="H21" s="5"/>
      <c r="I21" s="5"/>
      <c r="J21" s="7"/>
      <c r="K21" s="64" t="s">
        <v>45</v>
      </c>
      <c r="L21" s="28">
        <v>90</v>
      </c>
      <c r="M21" s="73">
        <v>0</v>
      </c>
      <c r="N21" s="76">
        <f t="shared" ref="N21:N22" si="1">1-M21</f>
        <v>1</v>
      </c>
      <c r="O21" s="76"/>
      <c r="P21" s="19"/>
      <c r="R21" s="25"/>
    </row>
    <row r="22" spans="1:21" x14ac:dyDescent="0.3">
      <c r="A22" s="23"/>
      <c r="C22" s="95"/>
      <c r="D22" s="96"/>
      <c r="E22" s="97"/>
      <c r="F22" s="98" t="s">
        <v>59</v>
      </c>
      <c r="G22" s="99">
        <v>14</v>
      </c>
      <c r="H22" s="97" t="s">
        <v>26</v>
      </c>
      <c r="I22" s="100"/>
      <c r="J22" s="7"/>
      <c r="K22" s="64" t="s">
        <v>46</v>
      </c>
      <c r="L22" s="28">
        <v>0</v>
      </c>
      <c r="M22" s="73">
        <v>0</v>
      </c>
      <c r="N22" s="76">
        <f t="shared" si="1"/>
        <v>1</v>
      </c>
      <c r="O22" s="76"/>
      <c r="P22" s="19"/>
      <c r="R22" s="25"/>
    </row>
    <row r="23" spans="1:21" x14ac:dyDescent="0.3">
      <c r="A23" s="23"/>
      <c r="C23" s="90"/>
      <c r="D23" s="91"/>
      <c r="E23" s="93"/>
      <c r="F23" s="92" t="s">
        <v>56</v>
      </c>
      <c r="G23" s="94">
        <v>5700</v>
      </c>
      <c r="H23" s="93" t="s">
        <v>55</v>
      </c>
      <c r="I23" s="101"/>
      <c r="J23" s="7"/>
      <c r="K23" s="64" t="s">
        <v>47</v>
      </c>
      <c r="L23" s="28">
        <v>0</v>
      </c>
      <c r="M23" s="73">
        <v>0</v>
      </c>
      <c r="N23" s="76">
        <f>1-M23</f>
        <v>1</v>
      </c>
      <c r="O23" s="76"/>
      <c r="P23" s="19"/>
      <c r="R23" s="25"/>
    </row>
    <row r="24" spans="1:21" x14ac:dyDescent="0.3">
      <c r="A24" s="23"/>
      <c r="C24" s="90"/>
      <c r="D24" s="93"/>
      <c r="E24" s="93"/>
      <c r="F24" s="92" t="s">
        <v>60</v>
      </c>
      <c r="G24" s="94">
        <v>85</v>
      </c>
      <c r="H24" s="93" t="s">
        <v>62</v>
      </c>
      <c r="I24" s="101"/>
      <c r="J24" s="7"/>
      <c r="K24" s="64" t="s">
        <v>47</v>
      </c>
      <c r="L24" s="28">
        <v>0</v>
      </c>
      <c r="M24" s="73">
        <v>0</v>
      </c>
      <c r="N24" s="76">
        <f>1-M24</f>
        <v>1</v>
      </c>
      <c r="O24" s="76"/>
      <c r="P24" s="19"/>
      <c r="R24" s="25"/>
      <c r="U24">
        <v>12.5</v>
      </c>
    </row>
    <row r="25" spans="1:21" ht="19.5" thickBot="1" x14ac:dyDescent="0.35">
      <c r="A25" s="23"/>
      <c r="C25" s="102"/>
      <c r="D25" s="103"/>
      <c r="E25" s="104"/>
      <c r="F25" s="105" t="s">
        <v>61</v>
      </c>
      <c r="G25" s="106">
        <v>100</v>
      </c>
      <c r="H25" s="107" t="s">
        <v>63</v>
      </c>
      <c r="I25" s="108"/>
      <c r="J25" s="78"/>
      <c r="K25" s="79" t="s">
        <v>47</v>
      </c>
      <c r="L25" s="38">
        <v>0</v>
      </c>
      <c r="M25" s="74">
        <v>0</v>
      </c>
      <c r="N25" s="77">
        <f>1-M25</f>
        <v>1</v>
      </c>
      <c r="O25" s="77"/>
      <c r="P25" s="70"/>
      <c r="R25" s="25"/>
      <c r="U25">
        <v>13.6</v>
      </c>
    </row>
    <row r="26" spans="1:21" x14ac:dyDescent="0.3">
      <c r="A26" s="23"/>
      <c r="C26" s="18"/>
      <c r="D26" s="40" t="s">
        <v>57</v>
      </c>
      <c r="E26" s="5"/>
      <c r="F26" s="12"/>
      <c r="G26" s="5"/>
      <c r="H26" s="5"/>
      <c r="I26" s="5"/>
      <c r="J26" s="5"/>
      <c r="K26" s="34" t="s">
        <v>48</v>
      </c>
      <c r="L26" s="32">
        <f>SUM(L11:L25)</f>
        <v>503.65</v>
      </c>
      <c r="M26" s="33" t="s">
        <v>36</v>
      </c>
      <c r="N26" s="5"/>
      <c r="O26" s="5"/>
      <c r="P26" s="19"/>
      <c r="R26" s="25"/>
      <c r="U26">
        <f>SUM(U24:U25)</f>
        <v>26.1</v>
      </c>
    </row>
    <row r="27" spans="1:21" ht="19.5" thickBot="1" x14ac:dyDescent="0.35">
      <c r="A27" s="23"/>
      <c r="C27" s="18"/>
      <c r="D27" s="40" t="s">
        <v>58</v>
      </c>
      <c r="E27" s="57"/>
      <c r="F27" s="58"/>
      <c r="G27" s="57"/>
      <c r="H27" s="57"/>
      <c r="I27" s="57"/>
      <c r="J27" s="57"/>
      <c r="K27" s="57"/>
      <c r="L27" s="85" t="s">
        <v>53</v>
      </c>
      <c r="M27" s="86">
        <f>SUMPRODUCT(L11:L25,M11:M25)</f>
        <v>62</v>
      </c>
      <c r="N27" s="86">
        <f>SUMPRODUCT(L11:L25,N11:N25)</f>
        <v>441.65</v>
      </c>
      <c r="O27" s="87"/>
      <c r="P27" s="19"/>
      <c r="R27" s="25"/>
    </row>
    <row r="28" spans="1:21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9"/>
      <c r="R28" s="25"/>
    </row>
    <row r="29" spans="1:21" ht="21" x14ac:dyDescent="0.35">
      <c r="A29" s="23"/>
      <c r="C29" s="18"/>
      <c r="D29" s="40"/>
      <c r="E29" s="5"/>
      <c r="F29" s="12"/>
      <c r="G29" s="5"/>
      <c r="H29" s="5"/>
      <c r="I29" s="45" t="s">
        <v>40</v>
      </c>
      <c r="J29" s="5"/>
      <c r="K29" s="5"/>
      <c r="L29" s="5"/>
      <c r="M29" s="5"/>
      <c r="N29" s="33" t="s">
        <v>65</v>
      </c>
      <c r="O29" s="5"/>
      <c r="P29" s="19"/>
      <c r="R29" s="25"/>
    </row>
    <row r="30" spans="1:21" x14ac:dyDescent="0.3">
      <c r="A30" s="23"/>
      <c r="C30" s="18"/>
      <c r="D30" s="9" t="s">
        <v>28</v>
      </c>
      <c r="E30" s="5"/>
      <c r="F30" s="5"/>
      <c r="G30" s="5"/>
      <c r="H30" s="5"/>
      <c r="I30" s="8" t="s">
        <v>2</v>
      </c>
      <c r="J30" s="5"/>
      <c r="K30" s="5"/>
      <c r="L30" s="5"/>
      <c r="M30" s="5"/>
      <c r="N30" s="8" t="s">
        <v>66</v>
      </c>
      <c r="O30" s="5"/>
      <c r="P30" s="19"/>
      <c r="R30" s="25"/>
    </row>
    <row r="31" spans="1:21" ht="19.5" thickBot="1" x14ac:dyDescent="0.35">
      <c r="A31" s="23"/>
      <c r="C31" s="43" t="s">
        <v>27</v>
      </c>
      <c r="D31" s="9" t="s">
        <v>64</v>
      </c>
      <c r="E31" s="31">
        <f>IF(I31&gt;0,F31-250,0)</f>
        <v>6000</v>
      </c>
      <c r="F31" s="31">
        <f>IF(I31&gt;0,G31-250,0)</f>
        <v>6250</v>
      </c>
      <c r="G31" s="31">
        <f>IF(I31&gt;0,H31-250,0)</f>
        <v>6500</v>
      </c>
      <c r="H31" s="31">
        <f>IF(I31&gt;0,I31-250,0)</f>
        <v>6750</v>
      </c>
      <c r="I31" s="63">
        <f>F12</f>
        <v>7000</v>
      </c>
      <c r="J31" s="31">
        <f>IF(I31&gt;0,I31+250,0)</f>
        <v>7250</v>
      </c>
      <c r="K31" s="31">
        <f>IF(I31&gt;0,J31+250,0)</f>
        <v>7500</v>
      </c>
      <c r="L31" s="31">
        <f>IF(I31&gt;0,K31+250,0)</f>
        <v>7750</v>
      </c>
      <c r="M31" s="31">
        <f>IF(I31&gt;0,L31+250,0)</f>
        <v>8000</v>
      </c>
      <c r="N31" s="9" t="s">
        <v>64</v>
      </c>
      <c r="O31" s="88" t="s">
        <v>27</v>
      </c>
      <c r="P31" s="19"/>
      <c r="R31" s="25"/>
    </row>
    <row r="32" spans="1:21" x14ac:dyDescent="0.3">
      <c r="A32" s="23"/>
      <c r="C32" s="42">
        <f t="shared" ref="C32:C46" si="2">D32*1.62</f>
        <v>16.605</v>
      </c>
      <c r="D32" s="11">
        <f>IF(D39&gt;0,D33-0.25,0)</f>
        <v>10.25</v>
      </c>
      <c r="E32" s="47">
        <f>($D$32*(E31/100)*(1-$F$14))+((1-$F$14)*($N$32*($G$23/100)*(($G$25*0.85)/$G$24)))-$F$15-SUMPRODUCT($L$11:$L$25,$N$11:$N$25)-((E31/100)*(1-$F$14)*($F$18+$F$19))</f>
        <v>88.075000000000017</v>
      </c>
      <c r="F32" s="51">
        <f t="shared" ref="F32:M32" si="3">($D$32*(F31/100)*(1-$F$14))+((1-$F$14)*($N$32*($G$23/100)*(($G$25*0.85)/$G$24)))-$F$15-SUMPRODUCT($L$11:$L$25,$N$11:$N$25)-((F31/100)*(1-$F$14)*($F$18+$F$19))</f>
        <v>103.91250000000002</v>
      </c>
      <c r="G32" s="51">
        <f t="shared" si="3"/>
        <v>119.75000000000003</v>
      </c>
      <c r="H32" s="51">
        <f t="shared" si="3"/>
        <v>135.58750000000003</v>
      </c>
      <c r="I32" s="51">
        <f t="shared" si="3"/>
        <v>151.42500000000001</v>
      </c>
      <c r="J32" s="51">
        <f t="shared" si="3"/>
        <v>167.26250000000002</v>
      </c>
      <c r="K32" s="51">
        <f t="shared" si="3"/>
        <v>183.10000000000002</v>
      </c>
      <c r="L32" s="51">
        <f t="shared" si="3"/>
        <v>198.93750000000003</v>
      </c>
      <c r="M32" s="52">
        <f t="shared" si="3"/>
        <v>214.77500000000003</v>
      </c>
      <c r="N32" s="11">
        <f>IF(D32&lt;$G$22,$G$22-D32,0)</f>
        <v>3.75</v>
      </c>
      <c r="O32" s="35">
        <f t="shared" ref="O32:O46" si="4">N32*1.62</f>
        <v>6.0750000000000002</v>
      </c>
      <c r="P32" s="19"/>
      <c r="R32" s="25"/>
    </row>
    <row r="33" spans="1:18" x14ac:dyDescent="0.3">
      <c r="A33" s="23"/>
      <c r="C33" s="42">
        <f t="shared" si="2"/>
        <v>17.010000000000002</v>
      </c>
      <c r="D33" s="11">
        <f>IF(D39&gt;0,D34-0.25,0)</f>
        <v>10.5</v>
      </c>
      <c r="E33" s="49">
        <f t="shared" ref="E33:M33" si="5">($D$33*(E31/100)*(1-$F$14))+((1-$F$14)*($N$33*($G$23/100)*(($G$25*0.85)/$G$24)))-$F$15-SUMPRODUCT($L$11:$L$25,$N$11:$N$25)-((E31/100)*(1-$F$14)*($F$18+$F$19))</f>
        <v>88.6</v>
      </c>
      <c r="F33" s="48">
        <f t="shared" si="5"/>
        <v>104.87499999999989</v>
      </c>
      <c r="G33" s="48">
        <f t="shared" si="5"/>
        <v>121.14999999999989</v>
      </c>
      <c r="H33" s="48">
        <f t="shared" si="5"/>
        <v>137.4249999999999</v>
      </c>
      <c r="I33" s="48">
        <f t="shared" si="5"/>
        <v>153.69999999999999</v>
      </c>
      <c r="J33" s="48">
        <f t="shared" si="5"/>
        <v>169.97499999999999</v>
      </c>
      <c r="K33" s="48">
        <f t="shared" si="5"/>
        <v>186.25</v>
      </c>
      <c r="L33" s="48">
        <f t="shared" si="5"/>
        <v>202.52500000000001</v>
      </c>
      <c r="M33" s="53">
        <f t="shared" si="5"/>
        <v>218.8</v>
      </c>
      <c r="N33" s="11">
        <f t="shared" ref="N33:N46" si="6">IF(D33&lt;$G$22,$G$22-D33,0)</f>
        <v>3.5</v>
      </c>
      <c r="O33" s="35">
        <f t="shared" si="4"/>
        <v>5.67</v>
      </c>
      <c r="P33" s="19"/>
      <c r="R33" s="25"/>
    </row>
    <row r="34" spans="1:18" x14ac:dyDescent="0.3">
      <c r="A34" s="23"/>
      <c r="C34" s="42">
        <f t="shared" si="2"/>
        <v>17.415000000000003</v>
      </c>
      <c r="D34" s="11">
        <f>IF(D39&gt;0,D35-0.25,0)</f>
        <v>10.75</v>
      </c>
      <c r="E34" s="49">
        <f>($D$34*(E31/100)*(1-$F$14))+((1-$F$14)*($N$34*($G$23/100)*(($G$25*0.85)/$G$24)))-$F$15-SUMPRODUCT($L$11:$L$25,$N$11:$N$25)-((E31/100)*(1-$F$14)*($F$18+$F$19))</f>
        <v>89.124999999999972</v>
      </c>
      <c r="F34" s="48">
        <f t="shared" ref="F34:M34" si="7">($D$34*(F31/100)*(1-$F$14))+((1-$F$14)*($N$34*($G$23/100)*(($G$25*0.85)/$G$24)))-$F$15-SUMPRODUCT($L$11:$L$25,$N$11:$N$25)-((F31/100)*(1-$F$14)*($F$18+$F$19))</f>
        <v>105.83749999999998</v>
      </c>
      <c r="G34" s="48">
        <f t="shared" si="7"/>
        <v>122.54999999999998</v>
      </c>
      <c r="H34" s="48">
        <f t="shared" si="7"/>
        <v>139.26249999999999</v>
      </c>
      <c r="I34" s="48">
        <f t="shared" si="7"/>
        <v>155.97499999999997</v>
      </c>
      <c r="J34" s="48">
        <f t="shared" si="7"/>
        <v>172.68749999999997</v>
      </c>
      <c r="K34" s="48">
        <f t="shared" si="7"/>
        <v>189.39999999999998</v>
      </c>
      <c r="L34" s="48">
        <f t="shared" si="7"/>
        <v>206.11249999999998</v>
      </c>
      <c r="M34" s="53">
        <f t="shared" si="7"/>
        <v>222.82499999999999</v>
      </c>
      <c r="N34" s="11">
        <f t="shared" si="6"/>
        <v>3.25</v>
      </c>
      <c r="O34" s="35">
        <f t="shared" si="4"/>
        <v>5.2650000000000006</v>
      </c>
      <c r="P34" s="19"/>
      <c r="R34" s="25"/>
    </row>
    <row r="35" spans="1:18" x14ac:dyDescent="0.3">
      <c r="A35" s="23"/>
      <c r="C35" s="42">
        <f t="shared" si="2"/>
        <v>17.82</v>
      </c>
      <c r="D35" s="11">
        <f>IF(D39&gt;0,D36-0.25,0)</f>
        <v>11</v>
      </c>
      <c r="E35" s="49">
        <f t="shared" ref="E35:M35" si="8">($D$35*(E31/100)*(1-$F$14))+((1-$F$14)*($N$35*($G$23/100)*(($G$25*0.85)/$G$24)))-$F$15-SUMPRODUCT($L$11:$L$25,$N$11:$N$25)-((E31/100)*(1-$F$14)*($F$18+$F$19))</f>
        <v>89.649999999999949</v>
      </c>
      <c r="F35" s="48">
        <f t="shared" si="8"/>
        <v>106.79999999999995</v>
      </c>
      <c r="G35" s="48">
        <f t="shared" si="8"/>
        <v>123.94999999999996</v>
      </c>
      <c r="H35" s="48">
        <f t="shared" si="8"/>
        <v>141.10000000000008</v>
      </c>
      <c r="I35" s="48">
        <f t="shared" si="8"/>
        <v>158.25000000000006</v>
      </c>
      <c r="J35" s="48">
        <f t="shared" si="8"/>
        <v>175.40000000000006</v>
      </c>
      <c r="K35" s="48">
        <f t="shared" si="8"/>
        <v>192.55000000000007</v>
      </c>
      <c r="L35" s="48">
        <f t="shared" si="8"/>
        <v>209.70000000000007</v>
      </c>
      <c r="M35" s="53">
        <f t="shared" si="8"/>
        <v>226.85000000000008</v>
      </c>
      <c r="N35" s="11">
        <f t="shared" si="6"/>
        <v>3</v>
      </c>
      <c r="O35" s="35">
        <f t="shared" si="4"/>
        <v>4.8600000000000003</v>
      </c>
      <c r="P35" s="19"/>
      <c r="R35" s="25"/>
    </row>
    <row r="36" spans="1:18" x14ac:dyDescent="0.3">
      <c r="A36" s="23"/>
      <c r="C36" s="42">
        <f t="shared" si="2"/>
        <v>18.225000000000001</v>
      </c>
      <c r="D36" s="11">
        <f>IF(D39&gt;0,D37-0.25,0)</f>
        <v>11.25</v>
      </c>
      <c r="E36" s="49">
        <f t="shared" ref="E36:M36" si="9">($D$36*(E31/100)*(1-$F$14))+((1-$F$14)*($N$36*($G$23/100)*(($G$25*0.85)/$G$24)))-$F$15-SUMPRODUCT($L$11:$L$25,$N$11:$N$25)-((E31/100)*(1-$F$14)*($F$18+$F$19))</f>
        <v>90.174999999999926</v>
      </c>
      <c r="F36" s="48">
        <f t="shared" si="9"/>
        <v>107.76249999999993</v>
      </c>
      <c r="G36" s="48">
        <f t="shared" si="9"/>
        <v>125.34999999999994</v>
      </c>
      <c r="H36" s="48">
        <f t="shared" si="9"/>
        <v>142.93750000000006</v>
      </c>
      <c r="I36" s="48">
        <f t="shared" si="9"/>
        <v>160.52500000000003</v>
      </c>
      <c r="J36" s="48">
        <f t="shared" si="9"/>
        <v>178.11250000000004</v>
      </c>
      <c r="K36" s="48">
        <f t="shared" si="9"/>
        <v>195.70000000000005</v>
      </c>
      <c r="L36" s="48">
        <f t="shared" si="9"/>
        <v>213.28750000000005</v>
      </c>
      <c r="M36" s="53">
        <f t="shared" si="9"/>
        <v>230.87500000000006</v>
      </c>
      <c r="N36" s="11">
        <f t="shared" si="6"/>
        <v>2.75</v>
      </c>
      <c r="O36" s="35">
        <f t="shared" si="4"/>
        <v>4.4550000000000001</v>
      </c>
      <c r="P36" s="19"/>
      <c r="R36" s="25"/>
    </row>
    <row r="37" spans="1:18" x14ac:dyDescent="0.3">
      <c r="A37" s="23"/>
      <c r="C37" s="42">
        <f t="shared" si="2"/>
        <v>18.630000000000003</v>
      </c>
      <c r="D37" s="11">
        <f>IF(D39&gt;0,D38-0.25,0)</f>
        <v>11.5</v>
      </c>
      <c r="E37" s="49">
        <f t="shared" ref="E37:M37" si="10">($D$37*(E31/100)*(1-$F$14))+((1-$F$14)*($N$37*($G$23/100)*(($G$25*0.85)/$G$24)))-$F$15-SUMPRODUCT($L$11:$L$25,$N$11:$N$25)-((E31/100)*(1-$F$14)*($F$18+$F$19))</f>
        <v>90.700000000000017</v>
      </c>
      <c r="F37" s="48">
        <f t="shared" si="10"/>
        <v>108.72500000000002</v>
      </c>
      <c r="G37" s="48">
        <f t="shared" si="10"/>
        <v>126.75000000000003</v>
      </c>
      <c r="H37" s="48">
        <f t="shared" si="10"/>
        <v>144.77500000000003</v>
      </c>
      <c r="I37" s="48">
        <f t="shared" si="10"/>
        <v>162.80000000000001</v>
      </c>
      <c r="J37" s="48">
        <f t="shared" si="10"/>
        <v>180.82500000000002</v>
      </c>
      <c r="K37" s="48">
        <f t="shared" si="10"/>
        <v>198.85000000000002</v>
      </c>
      <c r="L37" s="48">
        <f t="shared" si="10"/>
        <v>216.87500000000003</v>
      </c>
      <c r="M37" s="53">
        <f t="shared" si="10"/>
        <v>234.90000000000003</v>
      </c>
      <c r="N37" s="11">
        <f t="shared" si="6"/>
        <v>2.5</v>
      </c>
      <c r="O37" s="35">
        <f t="shared" si="4"/>
        <v>4.0500000000000007</v>
      </c>
      <c r="P37" s="19"/>
      <c r="R37" s="25"/>
    </row>
    <row r="38" spans="1:18" x14ac:dyDescent="0.3">
      <c r="A38" s="23"/>
      <c r="C38" s="42">
        <f t="shared" si="2"/>
        <v>19.035</v>
      </c>
      <c r="D38" s="11">
        <f>IF(D39&gt;0,D39-0.25,0)</f>
        <v>11.75</v>
      </c>
      <c r="E38" s="49">
        <f t="shared" ref="E38:M38" si="11">($D$38*(E31/100)*(1-$F$14))+((1-$F$14)*($N$38*($G$23/100)*(($G$25*0.85)/$G$24)))-$F$15-SUMPRODUCT($L$11:$L$25,$N$11:$N$25)-((E31/100)*(1-$F$14)*($F$18+$F$19))</f>
        <v>91.224999999999994</v>
      </c>
      <c r="F38" s="48">
        <f t="shared" si="11"/>
        <v>109.6875</v>
      </c>
      <c r="G38" s="48">
        <f t="shared" si="11"/>
        <v>128.15</v>
      </c>
      <c r="H38" s="48">
        <f t="shared" si="11"/>
        <v>146.61250000000001</v>
      </c>
      <c r="I38" s="48">
        <f t="shared" si="11"/>
        <v>165.07499999999999</v>
      </c>
      <c r="J38" s="48">
        <f t="shared" si="11"/>
        <v>183.53749999999999</v>
      </c>
      <c r="K38" s="48">
        <f t="shared" si="11"/>
        <v>202</v>
      </c>
      <c r="L38" s="48">
        <f t="shared" si="11"/>
        <v>220.46250000000001</v>
      </c>
      <c r="M38" s="53">
        <f t="shared" si="11"/>
        <v>238.92500000000001</v>
      </c>
      <c r="N38" s="11">
        <f t="shared" si="6"/>
        <v>2.25</v>
      </c>
      <c r="O38" s="35">
        <f t="shared" si="4"/>
        <v>3.6450000000000005</v>
      </c>
      <c r="P38" s="19"/>
      <c r="R38" s="25"/>
    </row>
    <row r="39" spans="1:18" x14ac:dyDescent="0.3">
      <c r="A39" s="23"/>
      <c r="C39" s="42">
        <f t="shared" si="2"/>
        <v>19.440000000000001</v>
      </c>
      <c r="D39" s="62">
        <f>F11</f>
        <v>12</v>
      </c>
      <c r="E39" s="49">
        <f t="shared" ref="E39:M39" si="12">($D$39*(E31/100)*(1-$F$14))+((1-$F$14)*($N$39*($G$23/100)*(($G$25*0.85)/$G$24)))-$F$15-SUMPRODUCT($L$11:$L$25,$N$11:$N$25)-((E31/100)*(1-$F$14)*($F$18+$F$19))</f>
        <v>91.749999999999972</v>
      </c>
      <c r="F39" s="48">
        <f t="shared" si="12"/>
        <v>110.64999999999998</v>
      </c>
      <c r="G39" s="48">
        <f t="shared" si="12"/>
        <v>129.54999999999998</v>
      </c>
      <c r="H39" s="48">
        <f t="shared" si="12"/>
        <v>148.44999999999999</v>
      </c>
      <c r="I39" s="61">
        <f>($D$39*(I31/100)*(1-$F$14))+((1-$F$14)*($N$39*($G$23/100)*(($G$25*0.85)/$G$24)))-$F$15-SUMPRODUCT($L$11:$L$25,$N$11:$N$25)-((I31/100)*(1-$F$14)*($F$18+$F$19))</f>
        <v>167.34999999999997</v>
      </c>
      <c r="J39" s="48">
        <f t="shared" si="12"/>
        <v>186.24999999999997</v>
      </c>
      <c r="K39" s="48">
        <f t="shared" si="12"/>
        <v>205.14999999999998</v>
      </c>
      <c r="L39" s="48">
        <f t="shared" si="12"/>
        <v>224.04999999999998</v>
      </c>
      <c r="M39" s="53">
        <f t="shared" si="12"/>
        <v>242.95</v>
      </c>
      <c r="N39" s="11">
        <f t="shared" si="6"/>
        <v>2</v>
      </c>
      <c r="O39" s="35">
        <f t="shared" si="4"/>
        <v>3.24</v>
      </c>
      <c r="P39" s="19"/>
      <c r="R39" s="25"/>
    </row>
    <row r="40" spans="1:18" x14ac:dyDescent="0.3">
      <c r="A40" s="23"/>
      <c r="C40" s="42">
        <f t="shared" si="2"/>
        <v>19.845000000000002</v>
      </c>
      <c r="D40" s="11">
        <f>IF(D39&gt;0,D39+0.25,0)</f>
        <v>12.25</v>
      </c>
      <c r="E40" s="49">
        <f t="shared" ref="E40:M40" si="13">($D$40*(E31/100)*(1-$F$14))+((1-$F$14)*($N$40*($G$23/100)*(($G$25*0.85)/$G$24)))-$F$15-SUMPRODUCT($L$11:$L$25,$N$11:$N$25)-((E31/100)*(1-$F$14)*($F$18+$F$19))</f>
        <v>92.275000000000063</v>
      </c>
      <c r="F40" s="48">
        <f t="shared" si="13"/>
        <v>111.61250000000007</v>
      </c>
      <c r="G40" s="48">
        <f t="shared" si="13"/>
        <v>130.95000000000007</v>
      </c>
      <c r="H40" s="48">
        <f t="shared" si="13"/>
        <v>150.28750000000008</v>
      </c>
      <c r="I40" s="48">
        <f t="shared" si="13"/>
        <v>169.62500000000006</v>
      </c>
      <c r="J40" s="48">
        <f t="shared" si="13"/>
        <v>188.96250000000006</v>
      </c>
      <c r="K40" s="48">
        <f t="shared" si="13"/>
        <v>208.30000000000007</v>
      </c>
      <c r="L40" s="48">
        <f t="shared" si="13"/>
        <v>227.63750000000007</v>
      </c>
      <c r="M40" s="53">
        <f t="shared" si="13"/>
        <v>246.97500000000008</v>
      </c>
      <c r="N40" s="11">
        <f t="shared" si="6"/>
        <v>1.75</v>
      </c>
      <c r="O40" s="35">
        <f t="shared" si="4"/>
        <v>2.835</v>
      </c>
      <c r="P40" s="19"/>
      <c r="R40" s="25"/>
    </row>
    <row r="41" spans="1:18" x14ac:dyDescent="0.3">
      <c r="A41" s="23"/>
      <c r="C41" s="42">
        <f t="shared" si="2"/>
        <v>20.25</v>
      </c>
      <c r="D41" s="11">
        <f>IF(D39&gt;0,D40+0.25,0)</f>
        <v>12.5</v>
      </c>
      <c r="E41" s="49">
        <f t="shared" ref="E41:M41" si="14">($D$41*(E31/100)*(1-$F$14))+((1-$F$14)*($N$41*($G$23/100)*(($G$25*0.85)/$G$24)))-$F$15-SUMPRODUCT($L$11:$L$25,$N$11:$N$25)-((E31/100)*(1-$F$14)*($F$18+$F$19))</f>
        <v>92.80000000000004</v>
      </c>
      <c r="F41" s="48">
        <f t="shared" si="14"/>
        <v>112.57500000000005</v>
      </c>
      <c r="G41" s="48">
        <f t="shared" si="14"/>
        <v>132.35000000000005</v>
      </c>
      <c r="H41" s="48">
        <f t="shared" si="14"/>
        <v>152.12500000000006</v>
      </c>
      <c r="I41" s="48">
        <f t="shared" si="14"/>
        <v>171.90000000000003</v>
      </c>
      <c r="J41" s="48">
        <f t="shared" si="14"/>
        <v>191.67500000000004</v>
      </c>
      <c r="K41" s="48">
        <f t="shared" si="14"/>
        <v>211.45000000000005</v>
      </c>
      <c r="L41" s="48">
        <f t="shared" si="14"/>
        <v>231.22500000000005</v>
      </c>
      <c r="M41" s="53">
        <f t="shared" si="14"/>
        <v>251.00000000000006</v>
      </c>
      <c r="N41" s="11">
        <f t="shared" si="6"/>
        <v>1.5</v>
      </c>
      <c r="O41" s="35">
        <f t="shared" si="4"/>
        <v>2.4300000000000002</v>
      </c>
      <c r="P41" s="19"/>
      <c r="R41" s="25"/>
    </row>
    <row r="42" spans="1:18" x14ac:dyDescent="0.3">
      <c r="A42" s="23"/>
      <c r="C42" s="42">
        <f t="shared" si="2"/>
        <v>20.655000000000001</v>
      </c>
      <c r="D42" s="11">
        <f>IF(D39&gt;0,D41+0.25,0)</f>
        <v>12.75</v>
      </c>
      <c r="E42" s="49">
        <f t="shared" ref="E42:M42" si="15">($D$42*(E31/100)*(1-$F$14))+((1-$F$14)*($N$42*($G$23/100)*(($G$25*0.85)/$G$24)))-$F$15-SUMPRODUCT($L$11:$L$25,$N$11:$N$25)-((E31/100)*(1-$F$14)*($F$18+$F$19))</f>
        <v>93.325000000000017</v>
      </c>
      <c r="F42" s="48">
        <f t="shared" si="15"/>
        <v>113.53750000000002</v>
      </c>
      <c r="G42" s="48">
        <f t="shared" si="15"/>
        <v>133.75000000000003</v>
      </c>
      <c r="H42" s="48">
        <f t="shared" si="15"/>
        <v>153.96250000000003</v>
      </c>
      <c r="I42" s="48">
        <f t="shared" si="15"/>
        <v>174.17500000000001</v>
      </c>
      <c r="J42" s="48">
        <f t="shared" si="15"/>
        <v>194.38750000000002</v>
      </c>
      <c r="K42" s="48">
        <f t="shared" si="15"/>
        <v>214.60000000000002</v>
      </c>
      <c r="L42" s="48">
        <f t="shared" si="15"/>
        <v>234.81250000000003</v>
      </c>
      <c r="M42" s="53">
        <f t="shared" si="15"/>
        <v>255.02500000000003</v>
      </c>
      <c r="N42" s="11">
        <f t="shared" si="6"/>
        <v>1.25</v>
      </c>
      <c r="O42" s="35">
        <f t="shared" si="4"/>
        <v>2.0250000000000004</v>
      </c>
      <c r="P42" s="19"/>
      <c r="R42" s="25"/>
    </row>
    <row r="43" spans="1:18" x14ac:dyDescent="0.3">
      <c r="A43" s="23"/>
      <c r="C43" s="42">
        <f t="shared" si="2"/>
        <v>21.060000000000002</v>
      </c>
      <c r="D43" s="11">
        <f>IF(D39&gt;0,D42+0.25,0)</f>
        <v>13</v>
      </c>
      <c r="E43" s="49">
        <f t="shared" ref="E43:M43" si="16">($D$43*(E31/100)*(1-$F$14))+((1-$F$14)*($N$43*($G$23/100)*(($G$25*0.85)/$G$24)))-$F$15-SUMPRODUCT($L$11:$L$25,$N$11:$N$25)-((E31/100)*(1-$F$14)*($F$18+$F$19))</f>
        <v>93.85</v>
      </c>
      <c r="F43" s="48">
        <f t="shared" si="16"/>
        <v>114.5</v>
      </c>
      <c r="G43" s="48">
        <f t="shared" si="16"/>
        <v>135.15</v>
      </c>
      <c r="H43" s="48">
        <f t="shared" si="16"/>
        <v>155.80000000000001</v>
      </c>
      <c r="I43" s="48">
        <f t="shared" si="16"/>
        <v>176.45</v>
      </c>
      <c r="J43" s="48">
        <f t="shared" si="16"/>
        <v>197.1</v>
      </c>
      <c r="K43" s="48">
        <f t="shared" si="16"/>
        <v>217.75</v>
      </c>
      <c r="L43" s="48">
        <f t="shared" si="16"/>
        <v>238.4</v>
      </c>
      <c r="M43" s="53">
        <f t="shared" si="16"/>
        <v>259.05</v>
      </c>
      <c r="N43" s="11">
        <f t="shared" si="6"/>
        <v>1</v>
      </c>
      <c r="O43" s="35">
        <f t="shared" si="4"/>
        <v>1.62</v>
      </c>
      <c r="P43" s="19"/>
      <c r="R43" s="25"/>
    </row>
    <row r="44" spans="1:18" x14ac:dyDescent="0.3">
      <c r="A44" s="23"/>
      <c r="C44" s="42">
        <f t="shared" si="2"/>
        <v>21.465</v>
      </c>
      <c r="D44" s="11">
        <f>IF(D39&gt;0,D43+0.25,0)</f>
        <v>13.25</v>
      </c>
      <c r="E44" s="49">
        <f t="shared" ref="E44:M44" si="17">($D$44*(E31/100)*(1-$F$14))+((1-$F$14)*($N$44*($G$23/100)*(($G$25*0.85)/$G$24)))-$F$15-SUMPRODUCT($L$11:$L$25,$N$11:$N$25)-((E31/100)*(1-$F$14)*($F$18+$F$19))</f>
        <v>94.374999999999972</v>
      </c>
      <c r="F44" s="48">
        <f t="shared" si="17"/>
        <v>115.46249999999998</v>
      </c>
      <c r="G44" s="48">
        <f t="shared" si="17"/>
        <v>136.54999999999998</v>
      </c>
      <c r="H44" s="48">
        <f t="shared" si="17"/>
        <v>157.63749999999999</v>
      </c>
      <c r="I44" s="48">
        <f t="shared" si="17"/>
        <v>178.72499999999997</v>
      </c>
      <c r="J44" s="48">
        <f t="shared" si="17"/>
        <v>199.81249999999997</v>
      </c>
      <c r="K44" s="48">
        <f t="shared" si="17"/>
        <v>220.89999999999998</v>
      </c>
      <c r="L44" s="48">
        <f t="shared" si="17"/>
        <v>241.98749999999998</v>
      </c>
      <c r="M44" s="53">
        <f t="shared" si="17"/>
        <v>263.07499999999999</v>
      </c>
      <c r="N44" s="11">
        <f t="shared" si="6"/>
        <v>0.75</v>
      </c>
      <c r="O44" s="35">
        <f t="shared" si="4"/>
        <v>1.2150000000000001</v>
      </c>
      <c r="P44" s="19"/>
      <c r="R44" s="25"/>
    </row>
    <row r="45" spans="1:18" x14ac:dyDescent="0.3">
      <c r="A45" s="23"/>
      <c r="C45" s="42">
        <f t="shared" si="2"/>
        <v>21.87</v>
      </c>
      <c r="D45" s="11">
        <f>IF(D39&gt;0,D44+0.25,0)</f>
        <v>13.5</v>
      </c>
      <c r="E45" s="49">
        <f t="shared" ref="E45:M45" si="18">($D$45*(E31/100)*(1-$F$14))+((1-$F$14)*($N$45*($G$23/100)*(($G$25*0.85)/$G$24)))-$F$15-SUMPRODUCT($L$11:$L$25,$N$11:$N$25)-((E31/100)*(1-$F$14)*($F$18+$F$19))</f>
        <v>94.900000000000063</v>
      </c>
      <c r="F45" s="48">
        <f t="shared" si="18"/>
        <v>116.42500000000007</v>
      </c>
      <c r="G45" s="48">
        <f t="shared" si="18"/>
        <v>137.95000000000007</v>
      </c>
      <c r="H45" s="48">
        <f t="shared" si="18"/>
        <v>159.47500000000008</v>
      </c>
      <c r="I45" s="48">
        <f t="shared" si="18"/>
        <v>181.00000000000006</v>
      </c>
      <c r="J45" s="48">
        <f t="shared" si="18"/>
        <v>202.52500000000006</v>
      </c>
      <c r="K45" s="48">
        <f t="shared" si="18"/>
        <v>224.05000000000007</v>
      </c>
      <c r="L45" s="48">
        <f t="shared" si="18"/>
        <v>245.57500000000007</v>
      </c>
      <c r="M45" s="53">
        <f t="shared" si="18"/>
        <v>267.10000000000008</v>
      </c>
      <c r="N45" s="11">
        <f t="shared" si="6"/>
        <v>0.5</v>
      </c>
      <c r="O45" s="35">
        <f t="shared" si="4"/>
        <v>0.81</v>
      </c>
      <c r="P45" s="19"/>
      <c r="R45" s="25"/>
    </row>
    <row r="46" spans="1:18" ht="19.5" thickBot="1" x14ac:dyDescent="0.35">
      <c r="A46" s="23"/>
      <c r="C46" s="42">
        <f t="shared" si="2"/>
        <v>22.275000000000002</v>
      </c>
      <c r="D46" s="11">
        <f>IF(D39&gt;0,D45+0.25,0)</f>
        <v>13.75</v>
      </c>
      <c r="E46" s="50">
        <f t="shared" ref="E46:M46" si="19">($D$46*(E31/100)*(1-$F$14))+((1-$F$14)*($N$46*($G$23/100)*(($G$25*0.85)/$G$24)))-$F$15-SUMPRODUCT($L$11:$L$25,$N$11:$N$25)-((E31/100)*(1-$F$14)*($F$18+$F$19))</f>
        <v>95.42500000000004</v>
      </c>
      <c r="F46" s="54">
        <f t="shared" si="19"/>
        <v>117.38750000000005</v>
      </c>
      <c r="G46" s="54">
        <f t="shared" si="19"/>
        <v>139.35000000000005</v>
      </c>
      <c r="H46" s="54">
        <f t="shared" si="19"/>
        <v>161.31250000000006</v>
      </c>
      <c r="I46" s="54">
        <f t="shared" si="19"/>
        <v>183.27500000000003</v>
      </c>
      <c r="J46" s="54">
        <f t="shared" si="19"/>
        <v>205.23750000000004</v>
      </c>
      <c r="K46" s="54">
        <f t="shared" si="19"/>
        <v>227.20000000000005</v>
      </c>
      <c r="L46" s="54">
        <f t="shared" si="19"/>
        <v>249.16250000000005</v>
      </c>
      <c r="M46" s="55">
        <f t="shared" si="19"/>
        <v>271.12500000000006</v>
      </c>
      <c r="N46" s="11">
        <f t="shared" si="6"/>
        <v>0.25</v>
      </c>
      <c r="O46" s="35">
        <f t="shared" si="4"/>
        <v>0.40500000000000003</v>
      </c>
      <c r="P46" s="19"/>
      <c r="R46" s="25"/>
    </row>
    <row r="47" spans="1:18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5"/>
      <c r="P47" s="19"/>
      <c r="R47" s="25"/>
    </row>
    <row r="48" spans="1:18" ht="19.5" thickBot="1" x14ac:dyDescent="0.35">
      <c r="A48" s="23"/>
      <c r="C48" s="42"/>
      <c r="D48" s="59"/>
      <c r="E48" s="60"/>
      <c r="F48" s="60"/>
      <c r="G48" s="60"/>
      <c r="H48" s="60"/>
      <c r="I48" s="89" t="s">
        <v>67</v>
      </c>
      <c r="J48" s="60"/>
      <c r="K48" s="60"/>
      <c r="L48" s="60"/>
      <c r="M48" s="60"/>
      <c r="N48" s="5"/>
      <c r="O48" s="5"/>
      <c r="P48" s="19"/>
      <c r="R48" s="25"/>
    </row>
    <row r="49" spans="1:18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5"/>
      <c r="P49" s="19"/>
      <c r="R49" s="25"/>
    </row>
    <row r="50" spans="1:18" ht="21" x14ac:dyDescent="0.35">
      <c r="A50" s="23"/>
      <c r="C50" s="18"/>
      <c r="D50" s="40"/>
      <c r="E50" s="5"/>
      <c r="F50" s="12"/>
      <c r="G50" s="5"/>
      <c r="H50" s="5"/>
      <c r="I50" s="45" t="s">
        <v>41</v>
      </c>
      <c r="J50" s="5"/>
      <c r="K50" s="5"/>
      <c r="L50" s="5"/>
      <c r="M50" s="5"/>
      <c r="N50" s="33" t="s">
        <v>65</v>
      </c>
      <c r="O50" s="5"/>
      <c r="P50" s="19"/>
      <c r="R50" s="25"/>
    </row>
    <row r="51" spans="1:18" x14ac:dyDescent="0.3">
      <c r="A51" s="23"/>
      <c r="C51" s="18"/>
      <c r="D51" s="9" t="s">
        <v>28</v>
      </c>
      <c r="E51" s="5"/>
      <c r="F51" s="5"/>
      <c r="G51" s="5"/>
      <c r="H51" s="5"/>
      <c r="I51" s="8" t="s">
        <v>2</v>
      </c>
      <c r="J51" s="5"/>
      <c r="K51" s="5"/>
      <c r="L51" s="5"/>
      <c r="M51" s="5"/>
      <c r="N51" s="8" t="s">
        <v>66</v>
      </c>
      <c r="O51" s="5"/>
      <c r="P51" s="19"/>
      <c r="R51" s="25"/>
    </row>
    <row r="52" spans="1:18" ht="19.5" thickBot="1" x14ac:dyDescent="0.35">
      <c r="A52" s="23"/>
      <c r="C52" s="43" t="s">
        <v>27</v>
      </c>
      <c r="D52" s="9" t="s">
        <v>64</v>
      </c>
      <c r="E52" s="31">
        <f>IF(I52&gt;0,F52-250,0)</f>
        <v>6000</v>
      </c>
      <c r="F52" s="31">
        <f>IF(I52&gt;0,G52-250,0)</f>
        <v>6250</v>
      </c>
      <c r="G52" s="31">
        <f>IF(I52&gt;0,H52-250,0)</f>
        <v>6500</v>
      </c>
      <c r="H52" s="31">
        <f>IF(I52&gt;0,I52-250,0)</f>
        <v>6750</v>
      </c>
      <c r="I52" s="63">
        <f>F12</f>
        <v>7000</v>
      </c>
      <c r="J52" s="31">
        <f>IF(I52&gt;0,I52+250,0)</f>
        <v>7250</v>
      </c>
      <c r="K52" s="31">
        <f>IF(I52&gt;0,J52+250,0)</f>
        <v>7500</v>
      </c>
      <c r="L52" s="31">
        <f>IF(I52&gt;0,K52+250,0)</f>
        <v>7750</v>
      </c>
      <c r="M52" s="31">
        <f>IF(I52&gt;0,L52+250,0)</f>
        <v>8000</v>
      </c>
      <c r="N52" s="9" t="s">
        <v>64</v>
      </c>
      <c r="O52" s="88" t="s">
        <v>27</v>
      </c>
      <c r="P52" s="19"/>
      <c r="R52" s="25"/>
    </row>
    <row r="53" spans="1:18" x14ac:dyDescent="0.3">
      <c r="A53" s="23"/>
      <c r="C53" s="42">
        <f t="shared" ref="C53:C67" si="20">D53*1.62</f>
        <v>16.605</v>
      </c>
      <c r="D53" s="11">
        <f>IF(D60&gt;0,D54-0.25,0)</f>
        <v>10.25</v>
      </c>
      <c r="E53" s="47">
        <f>($D$53*(E52/100)*$F$14)+($F$14*($N$32*($G$23/100)*(($G$25*0.85)/$G$24)))+$F$15-SUMPRODUCT($L$11:$L$25,$M$11:$M$25)-((E52/100)*$F$14*($F$18+$F$19))</f>
        <v>165.02500000000001</v>
      </c>
      <c r="F53" s="51">
        <f t="shared" ref="F53:M53" si="21">($D$53*(F52/100)*$F$14)+($F$14*$G$24)+$F$15-SUMPRODUCT($L$11:$L$25,$M$11:$M$25)-((F52/100)*$F$14*($F$18+$F$19))</f>
        <v>133.1875</v>
      </c>
      <c r="G53" s="51">
        <f t="shared" si="21"/>
        <v>139.97499999999999</v>
      </c>
      <c r="H53" s="51">
        <f t="shared" si="21"/>
        <v>146.76249999999999</v>
      </c>
      <c r="I53" s="51">
        <f t="shared" si="21"/>
        <v>153.55000000000001</v>
      </c>
      <c r="J53" s="51">
        <f t="shared" si="21"/>
        <v>160.33750000000001</v>
      </c>
      <c r="K53" s="51">
        <f t="shared" si="21"/>
        <v>167.125</v>
      </c>
      <c r="L53" s="51">
        <f t="shared" si="21"/>
        <v>173.91249999999999</v>
      </c>
      <c r="M53" s="52">
        <f t="shared" si="21"/>
        <v>180.7</v>
      </c>
      <c r="N53" s="11">
        <f t="shared" ref="N53:N67" si="22">IF(D53&lt;$G$22,$G$22-D53,0)</f>
        <v>3.75</v>
      </c>
      <c r="O53" s="35">
        <f t="shared" ref="O53:O67" si="23">N53*1.62</f>
        <v>6.0750000000000002</v>
      </c>
      <c r="P53" s="19"/>
      <c r="R53" s="25"/>
    </row>
    <row r="54" spans="1:18" x14ac:dyDescent="0.3">
      <c r="A54" s="23"/>
      <c r="C54" s="42">
        <f t="shared" si="20"/>
        <v>17.010000000000002</v>
      </c>
      <c r="D54" s="11">
        <f>IF(D60&gt;0,D55-0.25,0)</f>
        <v>10.5</v>
      </c>
      <c r="E54" s="49">
        <f t="shared" ref="E54:M54" si="24">($D$54*(E52/100)*$F$14)+($F$14*$G$24)+$F$15-SUMPRODUCT($L$11:$L$25,$M$11:$M$25)-((E52/100)*$F$14*($F$18+$F$19))</f>
        <v>130.9</v>
      </c>
      <c r="F54" s="48">
        <f t="shared" si="24"/>
        <v>137.875</v>
      </c>
      <c r="G54" s="48">
        <f t="shared" si="24"/>
        <v>144.85</v>
      </c>
      <c r="H54" s="48">
        <f t="shared" si="24"/>
        <v>151.82499999999999</v>
      </c>
      <c r="I54" s="48">
        <f t="shared" si="24"/>
        <v>158.80000000000001</v>
      </c>
      <c r="J54" s="48">
        <f t="shared" si="24"/>
        <v>165.77500000000001</v>
      </c>
      <c r="K54" s="48">
        <f t="shared" si="24"/>
        <v>172.75</v>
      </c>
      <c r="L54" s="48">
        <f t="shared" si="24"/>
        <v>179.72499999999999</v>
      </c>
      <c r="M54" s="53">
        <f t="shared" si="24"/>
        <v>186.7</v>
      </c>
      <c r="N54" s="11">
        <f t="shared" si="22"/>
        <v>3.5</v>
      </c>
      <c r="O54" s="35">
        <f t="shared" si="23"/>
        <v>5.67</v>
      </c>
      <c r="P54" s="19"/>
      <c r="R54" s="25"/>
    </row>
    <row r="55" spans="1:18" x14ac:dyDescent="0.3">
      <c r="A55" s="23"/>
      <c r="C55" s="42">
        <f t="shared" si="20"/>
        <v>17.415000000000003</v>
      </c>
      <c r="D55" s="11">
        <f>IF(D60&gt;0,D56-0.25,0)</f>
        <v>10.75</v>
      </c>
      <c r="E55" s="49">
        <f t="shared" ref="E55:M55" si="25">($D$55*(E52/100)*$F$14)+($F$14*$G$24)+$F$15-SUMPRODUCT($L$11:$L$25,$M$11:$M$25)-((E52/100)*$F$14*($F$18+$F$19))</f>
        <v>135.4</v>
      </c>
      <c r="F55" s="48">
        <f t="shared" si="25"/>
        <v>142.5625</v>
      </c>
      <c r="G55" s="48">
        <f t="shared" si="25"/>
        <v>149.72499999999999</v>
      </c>
      <c r="H55" s="48">
        <f t="shared" si="25"/>
        <v>156.88749999999999</v>
      </c>
      <c r="I55" s="48">
        <f t="shared" si="25"/>
        <v>164.05</v>
      </c>
      <c r="J55" s="48">
        <f t="shared" si="25"/>
        <v>171.21250000000001</v>
      </c>
      <c r="K55" s="48">
        <f t="shared" si="25"/>
        <v>178.375</v>
      </c>
      <c r="L55" s="48">
        <f t="shared" si="25"/>
        <v>185.53749999999999</v>
      </c>
      <c r="M55" s="53">
        <f t="shared" si="25"/>
        <v>192.7</v>
      </c>
      <c r="N55" s="11">
        <f t="shared" si="22"/>
        <v>3.25</v>
      </c>
      <c r="O55" s="35">
        <f t="shared" si="23"/>
        <v>5.2650000000000006</v>
      </c>
      <c r="P55" s="19"/>
      <c r="R55" s="25"/>
    </row>
    <row r="56" spans="1:18" x14ac:dyDescent="0.3">
      <c r="A56" s="23"/>
      <c r="C56" s="42">
        <f t="shared" si="20"/>
        <v>17.82</v>
      </c>
      <c r="D56" s="11">
        <f>IF(D60&gt;0,D57-0.25,0)</f>
        <v>11</v>
      </c>
      <c r="E56" s="49">
        <f t="shared" ref="E56:M56" si="26">($D$56*(E52/100)*$F$14)+($F$14*$G$24)+$F$15-SUMPRODUCT($L$11:$L$25,$M$11:$M$25)-((E52/100)*$F$14*($F$18+$F$19))</f>
        <v>139.9</v>
      </c>
      <c r="F56" s="48">
        <f t="shared" si="26"/>
        <v>147.25</v>
      </c>
      <c r="G56" s="48">
        <f t="shared" si="26"/>
        <v>154.6</v>
      </c>
      <c r="H56" s="48">
        <f t="shared" si="26"/>
        <v>161.94999999999999</v>
      </c>
      <c r="I56" s="48">
        <f t="shared" si="26"/>
        <v>169.3</v>
      </c>
      <c r="J56" s="48">
        <f t="shared" si="26"/>
        <v>176.65</v>
      </c>
      <c r="K56" s="48">
        <f t="shared" si="26"/>
        <v>184</v>
      </c>
      <c r="L56" s="48">
        <f t="shared" si="26"/>
        <v>191.35</v>
      </c>
      <c r="M56" s="53">
        <f t="shared" si="26"/>
        <v>198.7</v>
      </c>
      <c r="N56" s="11">
        <f t="shared" si="22"/>
        <v>3</v>
      </c>
      <c r="O56" s="35">
        <f t="shared" si="23"/>
        <v>4.8600000000000003</v>
      </c>
      <c r="P56" s="19"/>
      <c r="R56" s="25"/>
    </row>
    <row r="57" spans="1:18" x14ac:dyDescent="0.3">
      <c r="A57" s="23"/>
      <c r="C57" s="42">
        <f t="shared" si="20"/>
        <v>18.225000000000001</v>
      </c>
      <c r="D57" s="11">
        <f>IF(D60&gt;0,D58-0.25,0)</f>
        <v>11.25</v>
      </c>
      <c r="E57" s="49">
        <f t="shared" ref="E57:M57" si="27">($D$57*(E52/100)*$F$14)+($F$14*$G$24)+$F$15-SUMPRODUCT($L$11:$L$25,$M$11:$M$25)-((E52/100)*$F$14*($F$18+$F$19))</f>
        <v>144.4</v>
      </c>
      <c r="F57" s="48">
        <f t="shared" si="27"/>
        <v>151.9375</v>
      </c>
      <c r="G57" s="48">
        <f t="shared" si="27"/>
        <v>159.47499999999999</v>
      </c>
      <c r="H57" s="48">
        <f t="shared" si="27"/>
        <v>167.01249999999999</v>
      </c>
      <c r="I57" s="48">
        <f t="shared" si="27"/>
        <v>174.55</v>
      </c>
      <c r="J57" s="48">
        <f t="shared" si="27"/>
        <v>182.08750000000001</v>
      </c>
      <c r="K57" s="48">
        <f t="shared" si="27"/>
        <v>189.625</v>
      </c>
      <c r="L57" s="48">
        <f t="shared" si="27"/>
        <v>197.16249999999999</v>
      </c>
      <c r="M57" s="53">
        <f t="shared" si="27"/>
        <v>204.7</v>
      </c>
      <c r="N57" s="11">
        <f t="shared" si="22"/>
        <v>2.75</v>
      </c>
      <c r="O57" s="35">
        <f t="shared" si="23"/>
        <v>4.4550000000000001</v>
      </c>
      <c r="P57" s="19"/>
      <c r="R57" s="25"/>
    </row>
    <row r="58" spans="1:18" x14ac:dyDescent="0.3">
      <c r="A58" s="23"/>
      <c r="C58" s="42">
        <f t="shared" si="20"/>
        <v>18.630000000000003</v>
      </c>
      <c r="D58" s="11">
        <f>IF(D60&gt;0,D59-0.25,0)</f>
        <v>11.5</v>
      </c>
      <c r="E58" s="49">
        <f t="shared" ref="E58:M58" si="28">($D$58*(E52/100)*$F$14)+($F$14*$G$24)+$F$15-SUMPRODUCT($L$11:$L$25,$M$11:$M$25)-((E52/100)*$F$14*($F$18+$F$19))</f>
        <v>148.9</v>
      </c>
      <c r="F58" s="48">
        <f t="shared" si="28"/>
        <v>156.625</v>
      </c>
      <c r="G58" s="48">
        <f t="shared" si="28"/>
        <v>164.35</v>
      </c>
      <c r="H58" s="48">
        <f t="shared" si="28"/>
        <v>172.07499999999999</v>
      </c>
      <c r="I58" s="48">
        <f t="shared" si="28"/>
        <v>179.8</v>
      </c>
      <c r="J58" s="48">
        <f t="shared" si="28"/>
        <v>187.52500000000001</v>
      </c>
      <c r="K58" s="48">
        <f t="shared" si="28"/>
        <v>195.25</v>
      </c>
      <c r="L58" s="48">
        <f t="shared" si="28"/>
        <v>202.97499999999999</v>
      </c>
      <c r="M58" s="53">
        <f t="shared" si="28"/>
        <v>210.7</v>
      </c>
      <c r="N58" s="11">
        <f t="shared" si="22"/>
        <v>2.5</v>
      </c>
      <c r="O58" s="35">
        <f t="shared" si="23"/>
        <v>4.0500000000000007</v>
      </c>
      <c r="P58" s="19"/>
      <c r="R58" s="25"/>
    </row>
    <row r="59" spans="1:18" x14ac:dyDescent="0.3">
      <c r="A59" s="23"/>
      <c r="C59" s="42">
        <f t="shared" si="20"/>
        <v>19.035</v>
      </c>
      <c r="D59" s="11">
        <f>IF(D60&gt;0,D60-0.25,0)</f>
        <v>11.75</v>
      </c>
      <c r="E59" s="49">
        <f t="shared" ref="E59:M59" si="29">($D$59*(E52/100)*$F$14)+($F$14*$G$24)+$F$15-SUMPRODUCT($L$11:$L$25,$M$11:$M$25)-((E52/100)*$F$14*($F$18+$F$19))</f>
        <v>153.4</v>
      </c>
      <c r="F59" s="48">
        <f t="shared" si="29"/>
        <v>161.3125</v>
      </c>
      <c r="G59" s="48">
        <f t="shared" si="29"/>
        <v>169.22499999999999</v>
      </c>
      <c r="H59" s="48">
        <f t="shared" si="29"/>
        <v>177.13749999999999</v>
      </c>
      <c r="I59" s="48">
        <f t="shared" si="29"/>
        <v>185.05</v>
      </c>
      <c r="J59" s="48">
        <f t="shared" si="29"/>
        <v>192.96250000000001</v>
      </c>
      <c r="K59" s="48">
        <f t="shared" si="29"/>
        <v>200.875</v>
      </c>
      <c r="L59" s="48">
        <f t="shared" si="29"/>
        <v>208.78749999999999</v>
      </c>
      <c r="M59" s="53">
        <f t="shared" si="29"/>
        <v>216.7</v>
      </c>
      <c r="N59" s="11">
        <f t="shared" si="22"/>
        <v>2.25</v>
      </c>
      <c r="O59" s="35">
        <f t="shared" si="23"/>
        <v>3.6450000000000005</v>
      </c>
      <c r="P59" s="19"/>
      <c r="R59" s="25"/>
    </row>
    <row r="60" spans="1:18" x14ac:dyDescent="0.3">
      <c r="A60" s="23"/>
      <c r="C60" s="42">
        <f t="shared" si="20"/>
        <v>19.440000000000001</v>
      </c>
      <c r="D60" s="62">
        <f>F11</f>
        <v>12</v>
      </c>
      <c r="E60" s="49">
        <f t="shared" ref="E60:M60" si="30">($D$60*(E52/100)*$F$14)+($F$14*$G$24)+$F$15-SUMPRODUCT($L$11:$L$25,$M$11:$M$25)-((E52/100)*$F$14*($F$18+$F$19))</f>
        <v>157.9</v>
      </c>
      <c r="F60" s="48">
        <f t="shared" si="30"/>
        <v>166</v>
      </c>
      <c r="G60" s="48">
        <f t="shared" si="30"/>
        <v>174.1</v>
      </c>
      <c r="H60" s="48">
        <f t="shared" si="30"/>
        <v>182.2</v>
      </c>
      <c r="I60" s="61">
        <f t="shared" si="30"/>
        <v>190.3</v>
      </c>
      <c r="J60" s="48">
        <f t="shared" si="30"/>
        <v>198.4</v>
      </c>
      <c r="K60" s="48">
        <f t="shared" si="30"/>
        <v>206.5</v>
      </c>
      <c r="L60" s="48">
        <f t="shared" si="30"/>
        <v>214.6</v>
      </c>
      <c r="M60" s="53">
        <f t="shared" si="30"/>
        <v>222.7</v>
      </c>
      <c r="N60" s="11">
        <f t="shared" si="22"/>
        <v>2</v>
      </c>
      <c r="O60" s="35">
        <f t="shared" si="23"/>
        <v>3.24</v>
      </c>
      <c r="P60" s="19"/>
      <c r="R60" s="25"/>
    </row>
    <row r="61" spans="1:18" x14ac:dyDescent="0.3">
      <c r="A61" s="23"/>
      <c r="C61" s="42">
        <f t="shared" si="20"/>
        <v>19.845000000000002</v>
      </c>
      <c r="D61" s="11">
        <f>IF(D60&gt;0,D60+0.25,0)</f>
        <v>12.25</v>
      </c>
      <c r="E61" s="49">
        <f t="shared" ref="E61:M61" si="31">($D$61*(E52/100)*$F$14)+($F$14*$G$24)+$F$15-SUMPRODUCT($L$11:$L$25,$M$11:$M$25)-((E52/100)*$F$14*($F$18+$F$19))</f>
        <v>162.4</v>
      </c>
      <c r="F61" s="48">
        <f t="shared" si="31"/>
        <v>170.6875</v>
      </c>
      <c r="G61" s="48">
        <f t="shared" si="31"/>
        <v>178.97499999999999</v>
      </c>
      <c r="H61" s="48">
        <f t="shared" si="31"/>
        <v>187.26249999999999</v>
      </c>
      <c r="I61" s="48">
        <f t="shared" si="31"/>
        <v>195.55</v>
      </c>
      <c r="J61" s="48">
        <f t="shared" si="31"/>
        <v>203.83750000000001</v>
      </c>
      <c r="K61" s="48">
        <f t="shared" si="31"/>
        <v>212.125</v>
      </c>
      <c r="L61" s="48">
        <f t="shared" si="31"/>
        <v>220.41249999999999</v>
      </c>
      <c r="M61" s="53">
        <f t="shared" si="31"/>
        <v>228.7</v>
      </c>
      <c r="N61" s="11">
        <f t="shared" si="22"/>
        <v>1.75</v>
      </c>
      <c r="O61" s="35">
        <f t="shared" si="23"/>
        <v>2.835</v>
      </c>
      <c r="P61" s="19"/>
      <c r="R61" s="25"/>
    </row>
    <row r="62" spans="1:18" x14ac:dyDescent="0.3">
      <c r="A62" s="23"/>
      <c r="C62" s="42">
        <f t="shared" si="20"/>
        <v>20.25</v>
      </c>
      <c r="D62" s="11">
        <f>IF(D60&gt;0,D61+0.25,0)</f>
        <v>12.5</v>
      </c>
      <c r="E62" s="49">
        <f t="shared" ref="E62:M62" si="32">($D$62*(E52/100)*$F$14)+($F$14*$G$24)+$F$15-SUMPRODUCT($L$11:$L$25,$M$11:$M$25)-((E52/100)*$F$14*($F$18+$F$19))</f>
        <v>166.9</v>
      </c>
      <c r="F62" s="48">
        <f t="shared" si="32"/>
        <v>175.375</v>
      </c>
      <c r="G62" s="48">
        <f t="shared" si="32"/>
        <v>183.85</v>
      </c>
      <c r="H62" s="48">
        <f t="shared" si="32"/>
        <v>192.32499999999999</v>
      </c>
      <c r="I62" s="48">
        <f t="shared" si="32"/>
        <v>200.8</v>
      </c>
      <c r="J62" s="48">
        <f t="shared" si="32"/>
        <v>209.27500000000001</v>
      </c>
      <c r="K62" s="48">
        <f t="shared" si="32"/>
        <v>217.75</v>
      </c>
      <c r="L62" s="48">
        <f t="shared" si="32"/>
        <v>226.22499999999999</v>
      </c>
      <c r="M62" s="53">
        <f t="shared" si="32"/>
        <v>234.7</v>
      </c>
      <c r="N62" s="11">
        <f t="shared" si="22"/>
        <v>1.5</v>
      </c>
      <c r="O62" s="35">
        <f t="shared" si="23"/>
        <v>2.4300000000000002</v>
      </c>
      <c r="P62" s="19"/>
      <c r="R62" s="25"/>
    </row>
    <row r="63" spans="1:18" x14ac:dyDescent="0.3">
      <c r="A63" s="23"/>
      <c r="C63" s="42">
        <f t="shared" si="20"/>
        <v>20.655000000000001</v>
      </c>
      <c r="D63" s="11">
        <f>IF(D60&gt;0,D62+0.25,0)</f>
        <v>12.75</v>
      </c>
      <c r="E63" s="49">
        <f t="shared" ref="E63:M63" si="33">($D$63*(E52/100)*$F$14)+($F$14*$G$24)+$F$15-SUMPRODUCT($L$11:$L$25,$M$11:$M$25)-((E52/100)*$F$14*($F$18+$F$19))</f>
        <v>171.4</v>
      </c>
      <c r="F63" s="48">
        <f t="shared" si="33"/>
        <v>180.0625</v>
      </c>
      <c r="G63" s="48">
        <f t="shared" si="33"/>
        <v>188.72499999999999</v>
      </c>
      <c r="H63" s="48">
        <f t="shared" si="33"/>
        <v>197.38749999999999</v>
      </c>
      <c r="I63" s="48">
        <f t="shared" si="33"/>
        <v>206.05</v>
      </c>
      <c r="J63" s="48">
        <f t="shared" si="33"/>
        <v>214.71250000000001</v>
      </c>
      <c r="K63" s="48">
        <f t="shared" si="33"/>
        <v>223.375</v>
      </c>
      <c r="L63" s="48">
        <f t="shared" si="33"/>
        <v>232.03749999999999</v>
      </c>
      <c r="M63" s="53">
        <f t="shared" si="33"/>
        <v>240.7</v>
      </c>
      <c r="N63" s="11">
        <f t="shared" si="22"/>
        <v>1.25</v>
      </c>
      <c r="O63" s="35">
        <f t="shared" si="23"/>
        <v>2.0250000000000004</v>
      </c>
      <c r="P63" s="19"/>
      <c r="R63" s="25"/>
    </row>
    <row r="64" spans="1:18" x14ac:dyDescent="0.3">
      <c r="A64" s="23"/>
      <c r="C64" s="42">
        <f t="shared" si="20"/>
        <v>21.060000000000002</v>
      </c>
      <c r="D64" s="11">
        <f>IF(D60&gt;0,D63+0.25,0)</f>
        <v>13</v>
      </c>
      <c r="E64" s="49">
        <f t="shared" ref="E64:M64" si="34">($D$64*(E52/100)*$F$14)+($F$14*$G$24)+$F$15-SUMPRODUCT($L$11:$L$25,$M$11:$M$25)-((E52/100)*$F$14*($F$18+$F$19))</f>
        <v>175.9</v>
      </c>
      <c r="F64" s="48">
        <f t="shared" si="34"/>
        <v>184.75</v>
      </c>
      <c r="G64" s="48">
        <f t="shared" si="34"/>
        <v>193.6</v>
      </c>
      <c r="H64" s="48">
        <f t="shared" si="34"/>
        <v>202.45</v>
      </c>
      <c r="I64" s="48">
        <f t="shared" si="34"/>
        <v>211.3</v>
      </c>
      <c r="J64" s="48">
        <f t="shared" si="34"/>
        <v>220.15</v>
      </c>
      <c r="K64" s="48">
        <f t="shared" si="34"/>
        <v>229</v>
      </c>
      <c r="L64" s="48">
        <f t="shared" si="34"/>
        <v>237.85</v>
      </c>
      <c r="M64" s="53">
        <f t="shared" si="34"/>
        <v>246.7</v>
      </c>
      <c r="N64" s="11">
        <f t="shared" si="22"/>
        <v>1</v>
      </c>
      <c r="O64" s="35">
        <f t="shared" si="23"/>
        <v>1.62</v>
      </c>
      <c r="P64" s="19"/>
      <c r="R64" s="25"/>
    </row>
    <row r="65" spans="1:18" x14ac:dyDescent="0.3">
      <c r="A65" s="23"/>
      <c r="C65" s="42">
        <f t="shared" si="20"/>
        <v>21.465</v>
      </c>
      <c r="D65" s="11">
        <f>IF(D60&gt;0,D64+0.25,0)</f>
        <v>13.25</v>
      </c>
      <c r="E65" s="49">
        <f t="shared" ref="E65:M65" si="35">($D$65*(E52/100)*$F$14)+($F$14*$G$24)+$F$15-SUMPRODUCT($L$11:$L$25,$M$11:$M$25)-((E52/100)*$F$14*($F$18+$F$19))</f>
        <v>180.4</v>
      </c>
      <c r="F65" s="48">
        <f t="shared" si="35"/>
        <v>189.4375</v>
      </c>
      <c r="G65" s="48">
        <f t="shared" si="35"/>
        <v>198.47499999999999</v>
      </c>
      <c r="H65" s="48">
        <f t="shared" si="35"/>
        <v>207.51249999999999</v>
      </c>
      <c r="I65" s="48">
        <f t="shared" si="35"/>
        <v>216.55</v>
      </c>
      <c r="J65" s="48">
        <f t="shared" si="35"/>
        <v>225.58750000000001</v>
      </c>
      <c r="K65" s="48">
        <f t="shared" si="35"/>
        <v>234.625</v>
      </c>
      <c r="L65" s="48">
        <f t="shared" si="35"/>
        <v>243.66249999999999</v>
      </c>
      <c r="M65" s="53">
        <f t="shared" si="35"/>
        <v>252.7</v>
      </c>
      <c r="N65" s="11">
        <f t="shared" si="22"/>
        <v>0.75</v>
      </c>
      <c r="O65" s="35">
        <f t="shared" si="23"/>
        <v>1.2150000000000001</v>
      </c>
      <c r="P65" s="19"/>
      <c r="R65" s="25"/>
    </row>
    <row r="66" spans="1:18" x14ac:dyDescent="0.3">
      <c r="A66" s="23"/>
      <c r="C66" s="42">
        <f t="shared" si="20"/>
        <v>21.87</v>
      </c>
      <c r="D66" s="11">
        <f>IF(D60&gt;0,D65+0.25,0)</f>
        <v>13.5</v>
      </c>
      <c r="E66" s="49">
        <f t="shared" ref="E66:M66" si="36">($D$66*(E52/100)*$F$14)+($F$14*$G$24)+$F$15-SUMPRODUCT($L$11:$L$25,$M$11:$M$25)-((E52/100)*$F$14*($F$18+$F$19))</f>
        <v>184.9</v>
      </c>
      <c r="F66" s="48">
        <f t="shared" si="36"/>
        <v>194.125</v>
      </c>
      <c r="G66" s="48">
        <f t="shared" si="36"/>
        <v>203.35</v>
      </c>
      <c r="H66" s="48">
        <f t="shared" si="36"/>
        <v>212.57499999999999</v>
      </c>
      <c r="I66" s="48">
        <f t="shared" si="36"/>
        <v>221.8</v>
      </c>
      <c r="J66" s="48">
        <f t="shared" si="36"/>
        <v>231.02500000000001</v>
      </c>
      <c r="K66" s="48">
        <f t="shared" si="36"/>
        <v>240.25</v>
      </c>
      <c r="L66" s="48">
        <f t="shared" si="36"/>
        <v>249.47499999999999</v>
      </c>
      <c r="M66" s="53">
        <f t="shared" si="36"/>
        <v>258.7</v>
      </c>
      <c r="N66" s="11">
        <f t="shared" si="22"/>
        <v>0.5</v>
      </c>
      <c r="O66" s="35">
        <f t="shared" si="23"/>
        <v>0.81</v>
      </c>
      <c r="P66" s="19"/>
      <c r="R66" s="25"/>
    </row>
    <row r="67" spans="1:18" ht="19.5" thickBot="1" x14ac:dyDescent="0.35">
      <c r="A67" s="23"/>
      <c r="C67" s="42">
        <f t="shared" si="20"/>
        <v>22.275000000000002</v>
      </c>
      <c r="D67" s="11">
        <f>IF(D60&gt;0,D66+0.25,0)</f>
        <v>13.75</v>
      </c>
      <c r="E67" s="50">
        <f t="shared" ref="E67:M67" si="37">($D$67*(E52/100)*$F$14)+($F$14*$G$24)+$F$15-SUMPRODUCT($L$11:$L$25,$M$11:$M$25)-((E52/100)*$F$14*($F$18+$F$19))</f>
        <v>189.4</v>
      </c>
      <c r="F67" s="54">
        <f t="shared" si="37"/>
        <v>198.8125</v>
      </c>
      <c r="G67" s="54">
        <f t="shared" si="37"/>
        <v>208.22499999999999</v>
      </c>
      <c r="H67" s="54">
        <f t="shared" si="37"/>
        <v>217.63749999999999</v>
      </c>
      <c r="I67" s="54">
        <f t="shared" si="37"/>
        <v>227.05</v>
      </c>
      <c r="J67" s="54">
        <f t="shared" si="37"/>
        <v>236.46250000000001</v>
      </c>
      <c r="K67" s="54">
        <f t="shared" si="37"/>
        <v>245.875</v>
      </c>
      <c r="L67" s="54">
        <f t="shared" si="37"/>
        <v>255.28749999999999</v>
      </c>
      <c r="M67" s="55">
        <f t="shared" si="37"/>
        <v>264.7</v>
      </c>
      <c r="N67" s="11">
        <f t="shared" si="22"/>
        <v>0.25</v>
      </c>
      <c r="O67" s="35">
        <f t="shared" si="23"/>
        <v>0.40500000000000003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80</v>
      </c>
      <c r="R70" s="25"/>
    </row>
    <row r="71" spans="1:18" x14ac:dyDescent="0.3">
      <c r="A71" s="23"/>
      <c r="C71" s="41" t="s">
        <v>29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3391" priority="3642" operator="greaterThan">
      <formula>0</formula>
    </cfRule>
    <cfRule type="colorScale" priority="364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:M67 E32:M46">
    <cfRule type="cellIs" dxfId="3390" priority="3640" operator="greaterThan">
      <formula>0</formula>
    </cfRule>
    <cfRule type="cellIs" dxfId="3389" priority="3641" operator="greaterThan">
      <formula>0</formula>
    </cfRule>
  </conditionalFormatting>
  <conditionalFormatting sqref="E53:M67 E32:M46">
    <cfRule type="cellIs" dxfId="3388" priority="3639" operator="greaterThan">
      <formula>0</formula>
    </cfRule>
  </conditionalFormatting>
  <conditionalFormatting sqref="F32">
    <cfRule type="cellIs" dxfId="3387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86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85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84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83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82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81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80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79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78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77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76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75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74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73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72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71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70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69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68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67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66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65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64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63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62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3361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3360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3359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3358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3357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3356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3355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3354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3353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3352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351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3350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349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3348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3347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46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345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344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343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342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341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340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339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338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337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336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35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334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33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332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331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30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329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328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327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326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325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324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323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322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321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320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19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18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17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16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15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14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13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12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11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0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9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308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307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306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305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304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303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302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301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300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99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298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297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296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295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294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293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292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291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290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289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288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87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286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85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284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283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282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281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280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279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278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277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276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275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274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273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272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71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270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69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268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267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266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265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264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263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262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261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260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259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258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257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256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55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254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53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252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251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250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249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248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247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246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245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244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243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242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241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240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39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238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37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236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235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34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33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32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31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30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29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28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27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26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25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24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23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222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21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220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219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18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17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16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15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14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13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12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11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10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09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08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07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206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05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204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203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3202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201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200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99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98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97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96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95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94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93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92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91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90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89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88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87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86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85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84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83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82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81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80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79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78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77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76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3175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3174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3173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3172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3171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3170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3169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3168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3167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3166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165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3164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163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3162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3161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60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159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158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157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156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155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154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153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152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151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150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49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148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47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146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145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44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143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142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141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140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139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138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137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136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135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134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3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132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1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130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129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28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127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126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125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124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123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122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121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120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119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118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17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116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15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114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113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12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111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110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109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108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107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106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105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104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103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102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101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100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099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098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097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096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095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094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093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092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091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090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089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088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087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086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85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084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83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082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081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080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079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078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077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076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075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074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073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072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071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070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69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068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67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066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065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064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063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062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061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060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059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058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057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056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055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054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53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052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51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050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49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048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047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046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045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044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043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042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041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040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039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038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37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036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35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034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033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032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031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030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029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028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027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026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025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024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023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022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21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020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19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018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017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016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015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014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013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012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011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010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009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008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007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006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05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004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03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002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001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000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999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998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997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996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995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994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993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992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991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990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989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988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987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986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985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984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983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982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981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980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979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978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977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976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975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974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973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972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971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970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969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968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967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966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965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964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963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962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961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960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959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958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957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956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955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954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953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952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951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950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949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48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47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46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45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44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3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42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41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40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39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938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937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936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935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934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933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932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931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930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929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928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927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926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25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924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23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922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921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920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919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918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917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916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915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914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913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912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911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910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09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908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07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906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905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904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903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902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901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900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99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98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97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96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95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94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93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92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91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890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889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888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887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886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885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884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83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82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81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80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79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78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77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76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75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874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873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2872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2871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2870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2869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2868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2867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2866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2865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2864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2863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2862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2861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2860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2859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858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857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856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855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854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853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852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51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50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49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48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47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46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45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44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43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842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841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840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839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838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837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36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35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34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33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32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31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30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29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828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27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26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25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24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23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22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21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20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19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18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17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16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15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14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813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12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11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10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09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08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07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06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05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04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03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02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01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00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799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798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97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96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95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94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93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92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91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90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89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88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87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86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85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84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83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82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81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80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79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78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77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76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75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74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73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72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71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70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69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768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67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66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65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64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63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62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761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760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759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758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57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756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55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754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753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52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51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50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49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48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47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746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745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744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743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742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41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740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739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738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737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736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735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734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733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732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731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730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729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728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27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726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25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724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723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722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721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720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719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718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717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716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715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714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713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712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11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710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709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708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707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706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705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704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703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702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701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700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99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98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97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96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95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94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93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692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691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690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689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688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687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686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685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84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83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82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81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80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79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678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77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76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75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74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73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72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71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70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69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68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67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66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65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64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63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62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61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60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59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58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57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56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55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54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53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52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51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50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49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648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47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46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45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44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43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42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41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40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39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38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37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36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35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34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33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32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31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30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29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28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27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26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25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24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23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22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21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20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19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618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17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16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15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14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13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12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11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10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09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08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07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06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05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04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03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02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01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00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99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598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597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596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595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594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593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592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591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590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589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588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587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586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585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584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583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582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581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580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579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578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77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576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75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574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573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572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571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570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569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568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567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566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565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564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563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562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61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560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59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558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557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556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555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554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553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552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551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550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549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548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547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546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545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544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543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542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541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540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539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538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537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536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535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534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533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532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531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530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529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528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527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526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525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524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523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522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521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520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519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518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517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516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515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514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513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512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511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510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509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508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507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506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505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504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503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502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501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500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499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498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497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496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495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494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493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492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491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490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489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488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487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486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485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484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483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482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481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480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479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478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477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476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475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474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473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472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471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70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69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68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7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66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65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64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63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62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61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460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459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458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457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456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455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454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453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452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451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450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49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448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47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446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445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444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443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442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441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440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439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438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437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436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435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434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33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432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431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430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429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428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427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426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425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424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423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422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421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420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19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418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17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416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415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414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413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412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411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410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409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408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407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406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405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404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03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402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401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400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399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398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397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396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395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394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393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392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391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390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89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388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87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386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385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384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383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382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381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380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379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378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377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376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375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374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73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372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371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370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369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368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367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366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365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364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363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362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361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360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59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358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57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356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355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354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353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352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351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350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349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348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347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346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345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344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43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342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341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340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339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338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337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336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335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334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333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332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331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330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29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328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27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326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325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324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323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322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321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320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319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318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317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316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315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314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13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312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311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310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309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308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307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306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305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304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303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302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301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300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99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298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97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296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295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294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293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292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291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290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289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288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287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286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285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284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83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282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281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280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279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278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277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276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275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274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273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272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271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270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69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268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67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266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265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264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263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262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261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260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259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258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257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256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255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254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53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252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251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250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49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48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47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46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45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44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43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42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41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40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39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38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37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36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35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34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33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32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31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30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29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28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27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26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25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24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23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22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21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220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19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18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17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16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15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14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13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12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11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10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09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08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07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06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05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04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03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02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01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00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199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198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97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196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195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194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193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192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191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190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189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188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187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186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185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184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183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182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181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180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179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178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177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176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175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174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173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172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171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170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169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168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167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166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165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164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163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162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161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160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159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158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157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156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155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154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153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152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151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150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149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148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147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146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145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144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143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142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141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140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139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138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137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136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135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134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133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132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131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130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129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128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127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126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125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124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123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122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121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120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119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118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117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116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115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114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113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112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111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110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109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108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107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106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105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104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103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102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101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100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099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098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097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096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095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094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093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092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091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090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089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088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087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086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085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084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083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082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081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080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079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78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077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076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075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074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073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072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071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070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069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068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067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066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065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064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063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062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061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060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059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058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057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056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055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054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053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052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51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050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49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048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047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046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045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044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043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042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041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040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039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038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037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036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35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034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033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32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31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30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29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28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27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26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5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24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23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022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21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020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19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018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017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16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15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14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13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12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11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10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09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8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007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006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05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004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003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002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001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000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999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998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997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996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995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994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993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992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91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990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89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988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987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986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985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984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983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982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981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980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979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978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977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976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75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974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973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972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971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970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969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968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967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966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965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964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963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962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61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960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59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958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957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956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955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954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953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952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951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950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949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948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947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946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45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944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943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942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941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940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939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938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937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936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935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934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933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932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31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930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29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928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927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926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925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924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923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922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921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920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919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918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917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916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15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914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913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912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911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910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909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908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907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906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905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904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903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902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901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900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899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898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897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896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895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894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893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892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891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890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889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888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887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886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885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884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883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882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881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880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879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878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877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876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875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874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873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872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71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870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69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868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867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866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865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864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863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862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861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860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859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858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857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856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55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854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853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52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851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850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849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848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847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846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845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844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843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842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41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840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39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838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837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836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835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834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833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832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831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830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829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828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827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826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25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824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823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822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821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820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819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818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817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816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815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814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813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812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811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810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809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808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807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806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805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804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803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802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801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800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799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798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97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796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95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794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793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792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791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790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789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788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787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786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785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784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783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782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81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780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779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778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777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776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775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774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773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772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771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770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769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768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67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766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65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764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763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762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761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760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759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758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757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756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755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754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753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752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51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750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749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748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747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746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745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744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743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742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741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740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739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738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37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736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35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734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733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732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731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730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729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728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727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726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725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724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723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722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21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720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719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718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717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716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715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714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713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712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711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710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709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708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707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706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705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704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703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702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701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700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699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698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697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696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695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694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693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692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691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690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689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688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87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86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85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84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83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82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81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80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79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78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77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76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75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74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73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72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71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70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69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68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67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66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65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64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63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62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61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60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59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658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57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56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55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54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53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52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51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650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649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648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47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646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45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644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643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42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41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40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39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38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37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36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635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634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633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632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31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630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629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628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627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626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625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624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623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622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621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620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619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618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17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616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15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614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613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612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611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610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609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608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607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606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605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604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603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602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01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600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599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98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97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96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95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94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93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92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91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90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89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88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87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86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85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84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83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82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81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80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79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78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77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76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75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74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73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72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71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70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69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7"/>
  <sheetViews>
    <sheetView workbookViewId="0">
      <selection activeCell="E50" sqref="E50"/>
    </sheetView>
  </sheetViews>
  <sheetFormatPr defaultRowHeight="15" x14ac:dyDescent="0.25"/>
  <cols>
    <col min="2" max="2" width="11" customWidth="1"/>
    <col min="3" max="3" width="13.7109375" customWidth="1"/>
    <col min="4" max="4" width="14.5703125" customWidth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5"/>
      <c r="B2" s="110"/>
      <c r="C2" s="116" t="s">
        <v>76</v>
      </c>
      <c r="D2" s="117">
        <f>'Rice Land Tract 1 with PLC'!I31</f>
        <v>7000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25"/>
    </row>
    <row r="3" spans="1:18" ht="18.75" x14ac:dyDescent="0.3">
      <c r="A3" s="25"/>
      <c r="B3" s="111"/>
      <c r="C3" s="112" t="s">
        <v>72</v>
      </c>
      <c r="D3" s="112" t="s">
        <v>73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25"/>
    </row>
    <row r="4" spans="1:18" ht="30" x14ac:dyDescent="0.25">
      <c r="A4" s="25"/>
      <c r="B4" s="113" t="s">
        <v>71</v>
      </c>
      <c r="C4" s="114" t="s">
        <v>74</v>
      </c>
      <c r="D4" s="114" t="s">
        <v>75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25"/>
    </row>
    <row r="5" spans="1:18" x14ac:dyDescent="0.25">
      <c r="A5" s="25"/>
      <c r="B5" s="115">
        <f>'Rice Land Tract 1 with PLC'!D32</f>
        <v>10.25</v>
      </c>
      <c r="C5" s="115">
        <f>'Rice Land Tract 1 with PLC'!I32</f>
        <v>151.42500000000001</v>
      </c>
      <c r="D5" s="115">
        <f>'Rice Land Tract 1 with PLC'!F32</f>
        <v>103.91250000000002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25"/>
    </row>
    <row r="6" spans="1:18" x14ac:dyDescent="0.25">
      <c r="A6" s="25"/>
      <c r="B6" s="115">
        <f>'Rice Land Tract 1 with PLC'!D33</f>
        <v>10.5</v>
      </c>
      <c r="C6" s="115">
        <f>'Rice Land Tract 1 with PLC'!I33</f>
        <v>153.69999999999999</v>
      </c>
      <c r="D6" s="115">
        <f>'Rice Land Tract 1 with PLC'!F33</f>
        <v>104.87499999999989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25"/>
    </row>
    <row r="7" spans="1:18" x14ac:dyDescent="0.25">
      <c r="A7" s="25"/>
      <c r="B7" s="115">
        <f>'Rice Land Tract 1 with PLC'!D34</f>
        <v>10.75</v>
      </c>
      <c r="C7" s="115">
        <f>'Rice Land Tract 1 with PLC'!I34</f>
        <v>155.97499999999997</v>
      </c>
      <c r="D7" s="115">
        <f>'Rice Land Tract 1 with PLC'!F34</f>
        <v>105.83749999999998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5"/>
    </row>
    <row r="8" spans="1:18" x14ac:dyDescent="0.25">
      <c r="A8" s="25"/>
      <c r="B8" s="115">
        <f>'Rice Land Tract 1 with PLC'!D35</f>
        <v>11</v>
      </c>
      <c r="C8" s="115">
        <f>'Rice Land Tract 1 with PLC'!I35</f>
        <v>158.25000000000006</v>
      </c>
      <c r="D8" s="115">
        <f>'Rice Land Tract 1 with PLC'!F35</f>
        <v>106.79999999999995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25"/>
    </row>
    <row r="9" spans="1:18" x14ac:dyDescent="0.25">
      <c r="A9" s="25"/>
      <c r="B9" s="115">
        <f>'Rice Land Tract 1 with PLC'!D36</f>
        <v>11.25</v>
      </c>
      <c r="C9" s="115">
        <f>'Rice Land Tract 1 with PLC'!I36</f>
        <v>160.52500000000003</v>
      </c>
      <c r="D9" s="115">
        <f>'Rice Land Tract 1 with PLC'!F36</f>
        <v>107.76249999999993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25"/>
    </row>
    <row r="10" spans="1:18" x14ac:dyDescent="0.25">
      <c r="A10" s="25"/>
      <c r="B10" s="115">
        <f>'Rice Land Tract 1 with PLC'!D37</f>
        <v>11.5</v>
      </c>
      <c r="C10" s="115">
        <f>'Rice Land Tract 1 with PLC'!I37</f>
        <v>162.80000000000001</v>
      </c>
      <c r="D10" s="115">
        <f>'Rice Land Tract 1 with PLC'!F37</f>
        <v>108.72500000000002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25"/>
    </row>
    <row r="11" spans="1:18" x14ac:dyDescent="0.25">
      <c r="A11" s="25"/>
      <c r="B11" s="115">
        <f>'Rice Land Tract 1 with PLC'!D38</f>
        <v>11.75</v>
      </c>
      <c r="C11" s="115">
        <f>'Rice Land Tract 1 with PLC'!I38</f>
        <v>165.07499999999999</v>
      </c>
      <c r="D11" s="115">
        <f>'Rice Land Tract 1 with PLC'!F38</f>
        <v>109.6875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25"/>
    </row>
    <row r="12" spans="1:18" x14ac:dyDescent="0.25">
      <c r="A12" s="25"/>
      <c r="B12" s="115">
        <f>'Rice Land Tract 1 with PLC'!D39</f>
        <v>12</v>
      </c>
      <c r="C12" s="115">
        <f>'Rice Land Tract 1 with PLC'!I39</f>
        <v>167.34999999999997</v>
      </c>
      <c r="D12" s="115">
        <f>'Rice Land Tract 1 with PLC'!F39</f>
        <v>110.64999999999998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25"/>
    </row>
    <row r="13" spans="1:18" x14ac:dyDescent="0.25">
      <c r="A13" s="25"/>
      <c r="B13" s="115">
        <f>'Rice Land Tract 1 with PLC'!D40</f>
        <v>12.25</v>
      </c>
      <c r="C13" s="115">
        <f>'Rice Land Tract 1 with PLC'!I40</f>
        <v>169.62500000000006</v>
      </c>
      <c r="D13" s="115">
        <f>'Rice Land Tract 1 with PLC'!F40</f>
        <v>111.61250000000007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25"/>
    </row>
    <row r="14" spans="1:18" x14ac:dyDescent="0.25">
      <c r="A14" s="25"/>
      <c r="B14" s="115">
        <f>'Rice Land Tract 1 with PLC'!D41</f>
        <v>12.5</v>
      </c>
      <c r="C14" s="115">
        <f>'Rice Land Tract 1 with PLC'!I41</f>
        <v>171.90000000000003</v>
      </c>
      <c r="D14" s="115">
        <f>'Rice Land Tract 1 with PLC'!F41</f>
        <v>112.57500000000005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25"/>
    </row>
    <row r="15" spans="1:18" x14ac:dyDescent="0.25">
      <c r="A15" s="25"/>
      <c r="B15" s="115">
        <f>'Rice Land Tract 1 with PLC'!D42</f>
        <v>12.75</v>
      </c>
      <c r="C15" s="115">
        <f>'Rice Land Tract 1 with PLC'!I42</f>
        <v>174.17500000000001</v>
      </c>
      <c r="D15" s="115">
        <f>'Rice Land Tract 1 with PLC'!F42</f>
        <v>113.53750000000002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25"/>
    </row>
    <row r="16" spans="1:18" x14ac:dyDescent="0.25">
      <c r="A16" s="25"/>
      <c r="B16" s="115">
        <f>'Rice Land Tract 1 with PLC'!D43</f>
        <v>13</v>
      </c>
      <c r="C16" s="115">
        <f>'Rice Land Tract 1 with PLC'!I43</f>
        <v>176.45</v>
      </c>
      <c r="D16" s="115">
        <f>'Rice Land Tract 1 with PLC'!F43</f>
        <v>114.5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25"/>
    </row>
    <row r="17" spans="1:18" x14ac:dyDescent="0.25">
      <c r="A17" s="25"/>
      <c r="B17" s="115">
        <f>'Rice Land Tract 1 with PLC'!D44</f>
        <v>13.25</v>
      </c>
      <c r="C17" s="115">
        <f>'Rice Land Tract 1 with PLC'!I44</f>
        <v>178.72499999999997</v>
      </c>
      <c r="D17" s="115">
        <f>'Rice Land Tract 1 with PLC'!F44</f>
        <v>115.46249999999998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25"/>
    </row>
    <row r="18" spans="1:18" x14ac:dyDescent="0.25">
      <c r="A18" s="25"/>
      <c r="B18" s="115">
        <f>'Rice Land Tract 1 with PLC'!D45</f>
        <v>13.5</v>
      </c>
      <c r="C18" s="115">
        <f>'Rice Land Tract 1 with PLC'!I45</f>
        <v>181.00000000000006</v>
      </c>
      <c r="D18" s="115">
        <f>'Rice Land Tract 1 with PLC'!F45</f>
        <v>116.42500000000007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25"/>
    </row>
    <row r="19" spans="1:18" x14ac:dyDescent="0.25">
      <c r="A19" s="25"/>
      <c r="B19" s="115">
        <f>'Rice Land Tract 1 with PLC'!D46</f>
        <v>13.75</v>
      </c>
      <c r="C19" s="115">
        <f>'Rice Land Tract 1 with PLC'!I46</f>
        <v>183.27500000000003</v>
      </c>
      <c r="D19" s="115">
        <f>'Rice Land Tract 1 with PLC'!F46</f>
        <v>117.38750000000005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25"/>
    </row>
    <row r="20" spans="1:18" x14ac:dyDescent="0.25">
      <c r="A20" s="2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25"/>
    </row>
    <row r="21" spans="1:18" x14ac:dyDescent="0.25">
      <c r="A21" s="2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25"/>
    </row>
    <row r="22" spans="1:18" x14ac:dyDescent="0.25">
      <c r="A22" s="25"/>
      <c r="B22" s="110" t="s">
        <v>77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5"/>
    </row>
    <row r="23" spans="1:1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5" spans="1: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25">
      <c r="A26" s="25"/>
      <c r="B26" s="110"/>
      <c r="C26" s="116" t="s">
        <v>78</v>
      </c>
      <c r="D26" s="118">
        <f>'Rice Land Tract 1 with PLC'!D39</f>
        <v>12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25"/>
    </row>
    <row r="27" spans="1:18" ht="18.75" x14ac:dyDescent="0.3">
      <c r="A27" s="25"/>
      <c r="B27" s="111"/>
      <c r="C27" s="112" t="s">
        <v>72</v>
      </c>
      <c r="D27" s="112" t="s">
        <v>73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25"/>
    </row>
    <row r="28" spans="1:18" ht="30" x14ac:dyDescent="0.25">
      <c r="A28" s="25"/>
      <c r="B28" s="113" t="s">
        <v>79</v>
      </c>
      <c r="C28" s="114" t="s">
        <v>74</v>
      </c>
      <c r="D28" s="114" t="s">
        <v>75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25"/>
    </row>
    <row r="29" spans="1:18" x14ac:dyDescent="0.25">
      <c r="A29" s="25"/>
      <c r="B29" s="119">
        <f>'Rice Land Tract 1 with PLC'!E31</f>
        <v>6000</v>
      </c>
      <c r="C29" s="115">
        <f>'Rice Land Tract 1 with PLC'!E39</f>
        <v>91.749999999999972</v>
      </c>
      <c r="D29" s="115">
        <f>'Rice Land Tract 1 with PLC'!E60</f>
        <v>157.9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25"/>
    </row>
    <row r="30" spans="1:18" x14ac:dyDescent="0.25">
      <c r="A30" s="25"/>
      <c r="B30" s="119">
        <f>'Rice Land Tract 1 with PLC'!F31</f>
        <v>6250</v>
      </c>
      <c r="C30" s="115">
        <f>'Rice Land Tract 1 with PLC'!F39</f>
        <v>110.64999999999998</v>
      </c>
      <c r="D30" s="115">
        <f>'Rice Land Tract 1 with PLC'!F60</f>
        <v>166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25"/>
    </row>
    <row r="31" spans="1:18" x14ac:dyDescent="0.25">
      <c r="A31" s="25"/>
      <c r="B31" s="119">
        <f>'Rice Land Tract 1 with PLC'!G31</f>
        <v>6500</v>
      </c>
      <c r="C31" s="115">
        <f>'Rice Land Tract 1 with PLC'!G39</f>
        <v>129.54999999999998</v>
      </c>
      <c r="D31" s="115">
        <f>'Rice Land Tract 1 with PLC'!G60</f>
        <v>174.1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25"/>
    </row>
    <row r="32" spans="1:18" x14ac:dyDescent="0.25">
      <c r="A32" s="25"/>
      <c r="B32" s="119">
        <f>'Rice Land Tract 1 with PLC'!H31</f>
        <v>6750</v>
      </c>
      <c r="C32" s="115">
        <f>'Rice Land Tract 1 with PLC'!H39</f>
        <v>148.44999999999999</v>
      </c>
      <c r="D32" s="115">
        <f>'Rice Land Tract 1 with PLC'!H60</f>
        <v>182.2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25"/>
    </row>
    <row r="33" spans="1:18" x14ac:dyDescent="0.25">
      <c r="A33" s="25"/>
      <c r="B33" s="119">
        <f>'Rice Land Tract 1 with PLC'!I31</f>
        <v>7000</v>
      </c>
      <c r="C33" s="115">
        <f>'Rice Land Tract 1 with PLC'!I39</f>
        <v>167.34999999999997</v>
      </c>
      <c r="D33" s="115">
        <f>'Rice Land Tract 1 with PLC'!I60</f>
        <v>190.3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25"/>
    </row>
    <row r="34" spans="1:18" x14ac:dyDescent="0.25">
      <c r="A34" s="25"/>
      <c r="B34" s="119">
        <f>'Rice Land Tract 1 with PLC'!J31</f>
        <v>7250</v>
      </c>
      <c r="C34" s="115">
        <f>'Rice Land Tract 1 with PLC'!J39</f>
        <v>186.24999999999997</v>
      </c>
      <c r="D34" s="115">
        <f>'Rice Land Tract 1 with PLC'!J60</f>
        <v>198.4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25"/>
    </row>
    <row r="35" spans="1:18" x14ac:dyDescent="0.25">
      <c r="A35" s="25"/>
      <c r="B35" s="119">
        <f>'Rice Land Tract 1 with PLC'!K31</f>
        <v>7500</v>
      </c>
      <c r="C35" s="115">
        <f>'Rice Land Tract 1 with PLC'!K39</f>
        <v>205.14999999999998</v>
      </c>
      <c r="D35" s="115">
        <f>'Rice Land Tract 1 with PLC'!K60</f>
        <v>206.5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5"/>
    </row>
    <row r="36" spans="1:18" x14ac:dyDescent="0.25">
      <c r="A36" s="25"/>
      <c r="B36" s="119">
        <f>'Rice Land Tract 1 with PLC'!L31</f>
        <v>7750</v>
      </c>
      <c r="C36" s="115">
        <f>'Rice Land Tract 1 with PLC'!L39</f>
        <v>224.04999999999998</v>
      </c>
      <c r="D36" s="115">
        <f>'Rice Land Tract 1 with PLC'!L60</f>
        <v>214.6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25"/>
    </row>
    <row r="37" spans="1:18" x14ac:dyDescent="0.25">
      <c r="A37" s="25"/>
      <c r="B37" s="119">
        <f>'Rice Land Tract 1 with PLC'!M31</f>
        <v>8000</v>
      </c>
      <c r="C37" s="115">
        <f>'Rice Land Tract 1 with PLC'!M39</f>
        <v>242.95</v>
      </c>
      <c r="D37" s="115">
        <f>'Rice Land Tract 1 with PLC'!M60</f>
        <v>222.7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25"/>
    </row>
    <row r="38" spans="1:18" x14ac:dyDescent="0.25">
      <c r="A38" s="25"/>
      <c r="B38" s="120"/>
      <c r="C38" s="121"/>
      <c r="D38" s="12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25"/>
    </row>
    <row r="39" spans="1:18" x14ac:dyDescent="0.25">
      <c r="A39" s="25"/>
      <c r="B39" s="120"/>
      <c r="C39" s="121"/>
      <c r="D39" s="12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25"/>
    </row>
    <row r="40" spans="1:18" x14ac:dyDescent="0.25">
      <c r="A40" s="25"/>
      <c r="B40" s="120"/>
      <c r="C40" s="121"/>
      <c r="D40" s="12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25"/>
    </row>
    <row r="41" spans="1:18" x14ac:dyDescent="0.25">
      <c r="A41" s="25"/>
      <c r="B41" s="120"/>
      <c r="C41" s="121"/>
      <c r="D41" s="12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25"/>
    </row>
    <row r="42" spans="1:18" x14ac:dyDescent="0.25">
      <c r="A42" s="25"/>
      <c r="B42" s="120"/>
      <c r="C42" s="121"/>
      <c r="D42" s="12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25"/>
    </row>
    <row r="43" spans="1:18" x14ac:dyDescent="0.25">
      <c r="A43" s="25"/>
      <c r="B43" s="120"/>
      <c r="C43" s="121"/>
      <c r="D43" s="12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25"/>
    </row>
    <row r="44" spans="1:18" x14ac:dyDescent="0.25">
      <c r="A44" s="2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25"/>
    </row>
    <row r="45" spans="1:18" x14ac:dyDescent="0.25">
      <c r="A45" s="2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25"/>
    </row>
    <row r="46" spans="1:18" x14ac:dyDescent="0.25">
      <c r="A46" s="25"/>
      <c r="B46" s="110" t="s">
        <v>77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25"/>
    </row>
    <row r="47" spans="1:1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pageMargins left="0.7" right="0.7" top="0.75" bottom="0.75" header="0.3" footer="0.3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73"/>
  <sheetViews>
    <sheetView zoomScaleNormal="100" workbookViewId="0">
      <selection activeCell="S17" sqref="S17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24</v>
      </c>
      <c r="D2" s="2"/>
      <c r="F2" s="2"/>
      <c r="G2" s="2"/>
      <c r="I2" s="2"/>
      <c r="J2" s="2"/>
      <c r="L2" s="3"/>
      <c r="O2" s="4" t="s">
        <v>82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38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25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39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33</v>
      </c>
      <c r="F7" s="46" t="s">
        <v>54</v>
      </c>
      <c r="G7" s="5"/>
      <c r="H7" s="5"/>
      <c r="I7" s="45"/>
      <c r="J7" s="81"/>
      <c r="K7" s="66"/>
      <c r="L7" s="82" t="s">
        <v>52</v>
      </c>
      <c r="M7" s="65" t="s">
        <v>32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4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5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51</v>
      </c>
      <c r="M10" s="68" t="s">
        <v>30</v>
      </c>
      <c r="N10" s="71" t="s">
        <v>31</v>
      </c>
      <c r="O10" s="70"/>
      <c r="Q10" s="25"/>
    </row>
    <row r="11" spans="1:37" x14ac:dyDescent="0.3">
      <c r="A11" s="23"/>
      <c r="C11" s="18"/>
      <c r="D11" s="5"/>
      <c r="E11" s="7" t="s">
        <v>70</v>
      </c>
      <c r="F11" s="10">
        <v>12</v>
      </c>
      <c r="G11" s="5" t="s">
        <v>26</v>
      </c>
      <c r="H11" s="35">
        <f>F11*1.62</f>
        <v>19.440000000000001</v>
      </c>
      <c r="I11" s="5" t="s">
        <v>9</v>
      </c>
      <c r="J11" s="5"/>
      <c r="K11" s="64" t="s">
        <v>12</v>
      </c>
      <c r="L11" s="28">
        <v>67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6</v>
      </c>
      <c r="F12" s="29">
        <v>7000</v>
      </c>
      <c r="G12" s="5" t="s">
        <v>8</v>
      </c>
      <c r="H12" s="36">
        <f>F12/162</f>
        <v>43.209876543209873</v>
      </c>
      <c r="I12" s="5" t="s">
        <v>10</v>
      </c>
      <c r="J12" s="5"/>
      <c r="K12" s="64" t="s">
        <v>13</v>
      </c>
      <c r="L12" s="28">
        <v>82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11</v>
      </c>
      <c r="H13" s="5"/>
      <c r="I13" s="5"/>
      <c r="J13" s="5"/>
      <c r="K13" s="64" t="s">
        <v>14</v>
      </c>
      <c r="L13" s="28">
        <v>39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4</v>
      </c>
      <c r="F14" s="30">
        <v>0.3</v>
      </c>
      <c r="G14" s="5" t="s">
        <v>1</v>
      </c>
      <c r="H14" s="5"/>
      <c r="I14" s="5"/>
      <c r="J14" s="5"/>
      <c r="K14" s="64" t="s">
        <v>42</v>
      </c>
      <c r="L14" s="28">
        <v>13</v>
      </c>
      <c r="M14" s="73">
        <v>0</v>
      </c>
      <c r="N14" s="76">
        <f t="shared" ref="N14:N22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5</v>
      </c>
      <c r="F15" s="28">
        <v>0</v>
      </c>
      <c r="G15" s="5" t="s">
        <v>0</v>
      </c>
      <c r="H15" s="5"/>
      <c r="I15" s="5"/>
      <c r="J15" s="5"/>
      <c r="K15" s="64" t="s">
        <v>15</v>
      </c>
      <c r="L15" s="28">
        <v>72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16</v>
      </c>
      <c r="L16" s="28">
        <v>15.65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50</v>
      </c>
      <c r="E17" s="7"/>
      <c r="F17" s="14"/>
      <c r="G17" s="5"/>
      <c r="H17" s="5"/>
      <c r="I17" s="5"/>
      <c r="J17" s="7"/>
      <c r="K17" s="64" t="s">
        <v>17</v>
      </c>
      <c r="L17" s="28">
        <v>41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49</v>
      </c>
      <c r="E18" s="7"/>
      <c r="F18" s="5"/>
      <c r="G18" s="5"/>
      <c r="H18" s="5"/>
      <c r="I18" s="5"/>
      <c r="J18" s="7"/>
      <c r="K18" s="64" t="s">
        <v>18</v>
      </c>
      <c r="L18" s="28">
        <v>62</v>
      </c>
      <c r="M18" s="73">
        <v>1</v>
      </c>
      <c r="N18" s="76">
        <f t="shared" si="0"/>
        <v>0</v>
      </c>
      <c r="O18" s="19"/>
      <c r="Q18" s="25"/>
    </row>
    <row r="19" spans="1:17" x14ac:dyDescent="0.3">
      <c r="A19" s="23"/>
      <c r="C19" s="18"/>
      <c r="D19" s="5"/>
      <c r="E19" s="7" t="s">
        <v>20</v>
      </c>
      <c r="F19" s="10">
        <v>0.9</v>
      </c>
      <c r="G19" s="5" t="s">
        <v>7</v>
      </c>
      <c r="H19" s="39" t="s">
        <v>11</v>
      </c>
      <c r="I19" s="5"/>
      <c r="J19" s="7"/>
      <c r="K19" s="64" t="s">
        <v>19</v>
      </c>
      <c r="L19" s="28">
        <v>5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21</v>
      </c>
      <c r="F20" s="10">
        <v>0.3</v>
      </c>
      <c r="G20" s="5" t="s">
        <v>7</v>
      </c>
      <c r="H20" s="39" t="s">
        <v>11</v>
      </c>
      <c r="I20" s="5"/>
      <c r="J20" s="7"/>
      <c r="K20" s="64" t="s">
        <v>19</v>
      </c>
      <c r="L20" s="28">
        <v>17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43</v>
      </c>
      <c r="E21" s="7"/>
      <c r="F21" s="7"/>
      <c r="G21" s="7"/>
      <c r="H21" s="7"/>
      <c r="I21" s="5"/>
      <c r="J21" s="7"/>
      <c r="K21" s="64" t="s">
        <v>45</v>
      </c>
      <c r="L21" s="28">
        <v>90</v>
      </c>
      <c r="M21" s="73">
        <v>0</v>
      </c>
      <c r="N21" s="76">
        <f t="shared" si="0"/>
        <v>1</v>
      </c>
      <c r="O21" s="19"/>
      <c r="Q21" s="25"/>
    </row>
    <row r="22" spans="1:17" x14ac:dyDescent="0.3">
      <c r="A22" s="23"/>
      <c r="C22" s="18"/>
      <c r="D22" s="40" t="s">
        <v>44</v>
      </c>
      <c r="E22" s="7"/>
      <c r="F22" s="5"/>
      <c r="G22" s="5"/>
      <c r="H22" s="5"/>
      <c r="I22" s="5"/>
      <c r="J22" s="7"/>
      <c r="K22" s="64" t="s">
        <v>46</v>
      </c>
      <c r="L22" s="28">
        <v>0</v>
      </c>
      <c r="M22" s="73">
        <v>0</v>
      </c>
      <c r="N22" s="76">
        <f t="shared" si="0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47</v>
      </c>
      <c r="L23" s="28">
        <v>0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37</v>
      </c>
      <c r="F24" s="28">
        <v>145</v>
      </c>
      <c r="G24" s="5" t="s">
        <v>22</v>
      </c>
      <c r="H24" s="5"/>
      <c r="I24" s="5"/>
      <c r="J24" s="7"/>
      <c r="K24" s="64" t="s">
        <v>47</v>
      </c>
      <c r="L24" s="28">
        <v>0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35</v>
      </c>
      <c r="E25" s="7"/>
      <c r="F25" s="13"/>
      <c r="G25" s="5"/>
      <c r="H25" s="5"/>
      <c r="I25" s="5"/>
      <c r="J25" s="78"/>
      <c r="K25" s="79" t="s">
        <v>47</v>
      </c>
      <c r="L25" s="38">
        <v>0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23</v>
      </c>
      <c r="E26" s="5"/>
      <c r="F26" s="12"/>
      <c r="G26" s="5"/>
      <c r="H26" s="5"/>
      <c r="I26" s="5"/>
      <c r="J26" s="5"/>
      <c r="K26" s="34" t="s">
        <v>48</v>
      </c>
      <c r="L26" s="32">
        <f>SUM(L11:L25)</f>
        <v>503.65</v>
      </c>
      <c r="M26" s="33" t="s">
        <v>36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53</v>
      </c>
      <c r="M27" s="86">
        <f>SUMPRODUCT(L11:L25,M11:M25)</f>
        <v>62</v>
      </c>
      <c r="N27" s="86">
        <f>SUMPRODUCT(L11:L25,N11:N25)</f>
        <v>441.65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40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28</v>
      </c>
      <c r="E30" s="5"/>
      <c r="F30" s="5"/>
      <c r="G30" s="5"/>
      <c r="H30" s="5"/>
      <c r="I30" s="8" t="s">
        <v>2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27</v>
      </c>
      <c r="D31" s="9" t="s">
        <v>3</v>
      </c>
      <c r="E31" s="31">
        <f>IF(I31&gt;0,F31-250,0)</f>
        <v>6000</v>
      </c>
      <c r="F31" s="31">
        <f>IF(I31&gt;0,G31-250,0)</f>
        <v>6250</v>
      </c>
      <c r="G31" s="31">
        <f>IF(I31&gt;0,H31-250,0)</f>
        <v>6500</v>
      </c>
      <c r="H31" s="31">
        <f>IF(I31&gt;0,I31-250,0)</f>
        <v>6750</v>
      </c>
      <c r="I31" s="63">
        <f>F12</f>
        <v>7000</v>
      </c>
      <c r="J31" s="31">
        <f>IF(I31&gt;0,I31+250,0)</f>
        <v>7250</v>
      </c>
      <c r="K31" s="31">
        <f>IF(I31&gt;0,J31+250,0)</f>
        <v>7500</v>
      </c>
      <c r="L31" s="31">
        <f>IF(I31&gt;0,K31+250,0)</f>
        <v>7750</v>
      </c>
      <c r="M31" s="31">
        <f>IF(I31&gt;0,L31+250,0)</f>
        <v>8000</v>
      </c>
      <c r="N31" s="5"/>
      <c r="O31" s="19"/>
      <c r="Q31" s="25"/>
    </row>
    <row r="32" spans="1:17" x14ac:dyDescent="0.3">
      <c r="A32" s="23"/>
      <c r="C32" s="42">
        <f t="shared" ref="C32:C46" si="1">D32*1.62</f>
        <v>16.605</v>
      </c>
      <c r="D32" s="11">
        <f>IF(D39&gt;0,D33-0.25,0)</f>
        <v>10.25</v>
      </c>
      <c r="E32" s="47">
        <f>($D$32*(E31/100)*(1-$F$14))+((1-$F$14)*$F$24)-$F$15-SUMPRODUCT($L$11:$L$25,$N$11:$N$25)-((E31/100)*(1-$F$14)*($F$19+$F$20))</f>
        <v>39.950000000000024</v>
      </c>
      <c r="F32" s="51">
        <f t="shared" ref="F32:M32" si="2">($D$32*(F31/100)*(1-$F$14))+((1-$F$14)*$F$24)-$F$15-SUMPRODUCT($L$11:$L$25,$N$11:$N$25)-((F31/100)*(1-$F$14)*($F$19+$F$20))</f>
        <v>55.787500000000023</v>
      </c>
      <c r="G32" s="51">
        <f t="shared" si="2"/>
        <v>71.625000000000028</v>
      </c>
      <c r="H32" s="51">
        <f t="shared" si="2"/>
        <v>87.462500000000034</v>
      </c>
      <c r="I32" s="51">
        <f t="shared" si="2"/>
        <v>103.30000000000003</v>
      </c>
      <c r="J32" s="51">
        <f t="shared" si="2"/>
        <v>119.13750000000002</v>
      </c>
      <c r="K32" s="51">
        <f t="shared" si="2"/>
        <v>134.97500000000002</v>
      </c>
      <c r="L32" s="51">
        <f t="shared" si="2"/>
        <v>150.81250000000003</v>
      </c>
      <c r="M32" s="52">
        <f t="shared" si="2"/>
        <v>166.65000000000003</v>
      </c>
      <c r="N32" s="5"/>
      <c r="O32" s="19"/>
      <c r="Q32" s="25"/>
    </row>
    <row r="33" spans="1:17" x14ac:dyDescent="0.3">
      <c r="A33" s="23"/>
      <c r="C33" s="42">
        <f t="shared" si="1"/>
        <v>17.010000000000002</v>
      </c>
      <c r="D33" s="11">
        <f>IF(D39&gt;0,D34-0.25,0)</f>
        <v>10.5</v>
      </c>
      <c r="E33" s="49">
        <f t="shared" ref="E33:M33" si="3">($D$33*(E31/100)*(1-$F$14))+((1-$F$14)*$F$24)-$F$15-SUMPRODUCT($L$11:$L$25,$N$11:$N$25)-((E31/100)*(1-$F$14)*($F$19+$F$20))</f>
        <v>50.450000000000024</v>
      </c>
      <c r="F33" s="48">
        <f t="shared" si="3"/>
        <v>66.725000000000023</v>
      </c>
      <c r="G33" s="48">
        <f t="shared" si="3"/>
        <v>83.000000000000028</v>
      </c>
      <c r="H33" s="48">
        <f t="shared" si="3"/>
        <v>99.275000000000034</v>
      </c>
      <c r="I33" s="48">
        <f t="shared" si="3"/>
        <v>115.55000000000003</v>
      </c>
      <c r="J33" s="48">
        <f t="shared" si="3"/>
        <v>131.82500000000002</v>
      </c>
      <c r="K33" s="48">
        <f t="shared" si="3"/>
        <v>148.10000000000002</v>
      </c>
      <c r="L33" s="48">
        <f t="shared" si="3"/>
        <v>164.37500000000003</v>
      </c>
      <c r="M33" s="53">
        <f t="shared" si="3"/>
        <v>180.65000000000003</v>
      </c>
      <c r="N33" s="5"/>
      <c r="O33" s="19"/>
      <c r="Q33" s="25"/>
    </row>
    <row r="34" spans="1:17" x14ac:dyDescent="0.3">
      <c r="A34" s="23"/>
      <c r="C34" s="42">
        <f t="shared" si="1"/>
        <v>17.415000000000003</v>
      </c>
      <c r="D34" s="11">
        <f>IF(D39&gt;0,D35-0.25,0)</f>
        <v>10.75</v>
      </c>
      <c r="E34" s="49">
        <f t="shared" ref="E34:M34" si="4">($D$34*(E31/100)*(1-$F$14))+((1-$F$14)*$F$24)-$F$15-SUMPRODUCT($L$11:$L$25,$N$11:$N$25)-((E31/100)*(1-$F$14)*($F$19+$F$20))</f>
        <v>60.950000000000024</v>
      </c>
      <c r="F34" s="48">
        <f t="shared" si="4"/>
        <v>77.662500000000023</v>
      </c>
      <c r="G34" s="48">
        <f t="shared" si="4"/>
        <v>94.375000000000028</v>
      </c>
      <c r="H34" s="48">
        <f t="shared" si="4"/>
        <v>111.08750000000003</v>
      </c>
      <c r="I34" s="48">
        <f t="shared" si="4"/>
        <v>127.80000000000003</v>
      </c>
      <c r="J34" s="48">
        <f t="shared" si="4"/>
        <v>144.51250000000002</v>
      </c>
      <c r="K34" s="48">
        <f t="shared" si="4"/>
        <v>161.22500000000002</v>
      </c>
      <c r="L34" s="48">
        <f t="shared" si="4"/>
        <v>177.93750000000003</v>
      </c>
      <c r="M34" s="53">
        <f t="shared" si="4"/>
        <v>194.65000000000003</v>
      </c>
      <c r="N34" s="5"/>
      <c r="O34" s="19"/>
      <c r="Q34" s="25"/>
    </row>
    <row r="35" spans="1:17" x14ac:dyDescent="0.3">
      <c r="A35" s="23"/>
      <c r="C35" s="42">
        <f t="shared" si="1"/>
        <v>17.82</v>
      </c>
      <c r="D35" s="11">
        <f>IF(D39&gt;0,D36-0.25,0)</f>
        <v>11</v>
      </c>
      <c r="E35" s="49">
        <f t="shared" ref="E35:M35" si="5">($D$35*(E31/100)*(1-$F$14))+((1-$F$14)*$F$24)-$F$15-SUMPRODUCT($L$11:$L$25,$N$11:$N$25)-((E31/100)*(1-$F$14)*($F$19+$F$20))</f>
        <v>71.450000000000017</v>
      </c>
      <c r="F35" s="48">
        <f t="shared" si="5"/>
        <v>88.600000000000023</v>
      </c>
      <c r="G35" s="48">
        <f t="shared" si="5"/>
        <v>105.75000000000003</v>
      </c>
      <c r="H35" s="48">
        <f t="shared" si="5"/>
        <v>122.90000000000003</v>
      </c>
      <c r="I35" s="48">
        <f t="shared" si="5"/>
        <v>140.05000000000001</v>
      </c>
      <c r="J35" s="48">
        <f t="shared" si="5"/>
        <v>157.20000000000002</v>
      </c>
      <c r="K35" s="48">
        <f t="shared" si="5"/>
        <v>174.35000000000002</v>
      </c>
      <c r="L35" s="48">
        <f t="shared" si="5"/>
        <v>191.50000000000003</v>
      </c>
      <c r="M35" s="53">
        <f t="shared" si="5"/>
        <v>208.65000000000003</v>
      </c>
      <c r="N35" s="5"/>
      <c r="O35" s="19"/>
      <c r="Q35" s="25"/>
    </row>
    <row r="36" spans="1:17" x14ac:dyDescent="0.3">
      <c r="A36" s="23"/>
      <c r="C36" s="42">
        <f t="shared" si="1"/>
        <v>18.225000000000001</v>
      </c>
      <c r="D36" s="11">
        <f>IF(D39&gt;0,D37-0.25,0)</f>
        <v>11.25</v>
      </c>
      <c r="E36" s="49">
        <f t="shared" ref="E36:M36" si="6">($D$36*(E31/100)*(1-$F$14))+((1-$F$14)*$F$24)-$F$15-SUMPRODUCT($L$11:$L$25,$N$11:$N$25)-((E31/100)*(1-$F$14)*($F$19+$F$20))</f>
        <v>81.950000000000017</v>
      </c>
      <c r="F36" s="48">
        <f t="shared" si="6"/>
        <v>99.537500000000023</v>
      </c>
      <c r="G36" s="48">
        <f t="shared" si="6"/>
        <v>117.12500000000003</v>
      </c>
      <c r="H36" s="48">
        <f t="shared" si="6"/>
        <v>134.71250000000003</v>
      </c>
      <c r="I36" s="48">
        <f t="shared" si="6"/>
        <v>152.30000000000001</v>
      </c>
      <c r="J36" s="48">
        <f t="shared" si="6"/>
        <v>169.88750000000002</v>
      </c>
      <c r="K36" s="48">
        <f t="shared" si="6"/>
        <v>187.47500000000002</v>
      </c>
      <c r="L36" s="48">
        <f t="shared" si="6"/>
        <v>205.06250000000003</v>
      </c>
      <c r="M36" s="53">
        <f t="shared" si="6"/>
        <v>222.65000000000003</v>
      </c>
      <c r="N36" s="5"/>
      <c r="O36" s="19"/>
      <c r="Q36" s="25"/>
    </row>
    <row r="37" spans="1:17" x14ac:dyDescent="0.3">
      <c r="A37" s="23"/>
      <c r="C37" s="42">
        <f t="shared" si="1"/>
        <v>18.630000000000003</v>
      </c>
      <c r="D37" s="11">
        <f>IF(D39&gt;0,D38-0.25,0)</f>
        <v>11.5</v>
      </c>
      <c r="E37" s="49">
        <f t="shared" ref="E37:M37" si="7">($D$37*(E31/100)*(1-$F$14))+((1-$F$14)*$F$24)-$F$15-SUMPRODUCT($L$11:$L$25,$N$11:$N$25)-((E31/100)*(1-$F$14)*($F$19+$F$20))</f>
        <v>92.450000000000017</v>
      </c>
      <c r="F37" s="48">
        <f t="shared" si="7"/>
        <v>110.47500000000002</v>
      </c>
      <c r="G37" s="48">
        <f t="shared" si="7"/>
        <v>128.50000000000003</v>
      </c>
      <c r="H37" s="48">
        <f t="shared" si="7"/>
        <v>146.52500000000003</v>
      </c>
      <c r="I37" s="48">
        <f t="shared" si="7"/>
        <v>164.55</v>
      </c>
      <c r="J37" s="48">
        <f t="shared" si="7"/>
        <v>182.57500000000002</v>
      </c>
      <c r="K37" s="48">
        <f t="shared" si="7"/>
        <v>200.60000000000002</v>
      </c>
      <c r="L37" s="48">
        <f t="shared" si="7"/>
        <v>218.62500000000003</v>
      </c>
      <c r="M37" s="53">
        <f t="shared" si="7"/>
        <v>236.65000000000003</v>
      </c>
      <c r="N37" s="5"/>
      <c r="O37" s="19"/>
      <c r="Q37" s="25"/>
    </row>
    <row r="38" spans="1:17" x14ac:dyDescent="0.3">
      <c r="A38" s="23"/>
      <c r="C38" s="42">
        <f t="shared" si="1"/>
        <v>19.035</v>
      </c>
      <c r="D38" s="11">
        <f>IF(D39&gt;0,D39-0.25,0)</f>
        <v>11.75</v>
      </c>
      <c r="E38" s="49">
        <f t="shared" ref="E38:M38" si="8">($D$38*(E31/100)*(1-$F$14))+((1-$F$14)*$F$24)-$F$15-SUMPRODUCT($L$11:$L$25,$N$11:$N$25)-((E31/100)*(1-$F$14)*($F$19+$F$20))</f>
        <v>102.95000000000002</v>
      </c>
      <c r="F38" s="48">
        <f t="shared" si="8"/>
        <v>121.41250000000002</v>
      </c>
      <c r="G38" s="48">
        <f t="shared" si="8"/>
        <v>139.87500000000003</v>
      </c>
      <c r="H38" s="48">
        <f t="shared" si="8"/>
        <v>158.33750000000003</v>
      </c>
      <c r="I38" s="48">
        <f t="shared" si="8"/>
        <v>176.8</v>
      </c>
      <c r="J38" s="48">
        <f t="shared" si="8"/>
        <v>195.26250000000002</v>
      </c>
      <c r="K38" s="48">
        <f t="shared" si="8"/>
        <v>213.72500000000002</v>
      </c>
      <c r="L38" s="48">
        <f t="shared" si="8"/>
        <v>232.18750000000003</v>
      </c>
      <c r="M38" s="53">
        <f t="shared" si="8"/>
        <v>250.65000000000003</v>
      </c>
      <c r="N38" s="5"/>
      <c r="O38" s="19"/>
      <c r="Q38" s="25"/>
    </row>
    <row r="39" spans="1:17" x14ac:dyDescent="0.3">
      <c r="A39" s="23"/>
      <c r="C39" s="42">
        <f t="shared" si="1"/>
        <v>19.440000000000001</v>
      </c>
      <c r="D39" s="62">
        <f>F11</f>
        <v>12</v>
      </c>
      <c r="E39" s="49">
        <f t="shared" ref="E39:M39" si="9">($D$39*(E31/100)*(1-$F$14))+((1-$F$14)*$F$24)-$F$15-SUMPRODUCT($L$11:$L$25,$N$11:$N$25)-((E31/100)*(1-$F$14)*($F$19+$F$20))</f>
        <v>113.45000000000002</v>
      </c>
      <c r="F39" s="48">
        <f t="shared" si="9"/>
        <v>132.35000000000002</v>
      </c>
      <c r="G39" s="48">
        <f t="shared" si="9"/>
        <v>151.25000000000003</v>
      </c>
      <c r="H39" s="48">
        <f t="shared" si="9"/>
        <v>170.15000000000003</v>
      </c>
      <c r="I39" s="61">
        <f t="shared" si="9"/>
        <v>189.05</v>
      </c>
      <c r="J39" s="48">
        <f t="shared" si="9"/>
        <v>207.95000000000002</v>
      </c>
      <c r="K39" s="48">
        <f t="shared" si="9"/>
        <v>226.85000000000002</v>
      </c>
      <c r="L39" s="48">
        <f t="shared" si="9"/>
        <v>245.75000000000003</v>
      </c>
      <c r="M39" s="53">
        <f t="shared" si="9"/>
        <v>264.65000000000003</v>
      </c>
      <c r="N39" s="5"/>
      <c r="O39" s="19"/>
      <c r="Q39" s="25"/>
    </row>
    <row r="40" spans="1:17" x14ac:dyDescent="0.3">
      <c r="A40" s="23"/>
      <c r="C40" s="42">
        <f t="shared" si="1"/>
        <v>19.845000000000002</v>
      </c>
      <c r="D40" s="11">
        <f>IF(D39&gt;0,D39+0.25,0)</f>
        <v>12.25</v>
      </c>
      <c r="E40" s="49">
        <f t="shared" ref="E40:M40" si="10">($D$40*(E31/100)*(1-$F$14))+((1-$F$14)*$F$24)-$F$15-SUMPRODUCT($L$11:$L$25,$N$11:$N$25)-((E31/100)*(1-$F$14)*($F$19+$F$20))</f>
        <v>123.95000000000002</v>
      </c>
      <c r="F40" s="48">
        <f t="shared" si="10"/>
        <v>143.28750000000002</v>
      </c>
      <c r="G40" s="48">
        <f t="shared" si="10"/>
        <v>162.62500000000003</v>
      </c>
      <c r="H40" s="48">
        <f t="shared" si="10"/>
        <v>181.96250000000003</v>
      </c>
      <c r="I40" s="48">
        <f t="shared" si="10"/>
        <v>201.3</v>
      </c>
      <c r="J40" s="48">
        <f t="shared" si="10"/>
        <v>220.63750000000002</v>
      </c>
      <c r="K40" s="48">
        <f t="shared" si="10"/>
        <v>239.97500000000002</v>
      </c>
      <c r="L40" s="48">
        <f t="shared" si="10"/>
        <v>259.3125</v>
      </c>
      <c r="M40" s="53">
        <f t="shared" si="10"/>
        <v>278.65000000000003</v>
      </c>
      <c r="N40" s="5"/>
      <c r="O40" s="19"/>
      <c r="Q40" s="25"/>
    </row>
    <row r="41" spans="1:17" x14ac:dyDescent="0.3">
      <c r="A41" s="23"/>
      <c r="C41" s="42">
        <f t="shared" si="1"/>
        <v>20.25</v>
      </c>
      <c r="D41" s="11">
        <f>IF(D39&gt;0,D40+0.25,0)</f>
        <v>12.5</v>
      </c>
      <c r="E41" s="49">
        <f t="shared" ref="E41:M41" si="11">($D$41*(E31/100)*(1-$F$14))+((1-$F$14)*$F$24)-$F$15-SUMPRODUCT($L$11:$L$25,$N$11:$N$25)-((E31/100)*(1-$F$14)*($F$19+$F$20))</f>
        <v>134.45000000000002</v>
      </c>
      <c r="F41" s="48">
        <f t="shared" si="11"/>
        <v>154.22500000000002</v>
      </c>
      <c r="G41" s="48">
        <f t="shared" si="11"/>
        <v>174.00000000000003</v>
      </c>
      <c r="H41" s="48">
        <f t="shared" si="11"/>
        <v>193.77500000000003</v>
      </c>
      <c r="I41" s="48">
        <f t="shared" si="11"/>
        <v>213.55</v>
      </c>
      <c r="J41" s="48">
        <f t="shared" si="11"/>
        <v>233.32500000000002</v>
      </c>
      <c r="K41" s="48">
        <f t="shared" si="11"/>
        <v>253.10000000000002</v>
      </c>
      <c r="L41" s="48">
        <f t="shared" si="11"/>
        <v>272.875</v>
      </c>
      <c r="M41" s="53">
        <f t="shared" si="11"/>
        <v>292.65000000000003</v>
      </c>
      <c r="N41" s="5"/>
      <c r="O41" s="19"/>
      <c r="Q41" s="25"/>
    </row>
    <row r="42" spans="1:17" x14ac:dyDescent="0.3">
      <c r="A42" s="23"/>
      <c r="C42" s="42">
        <f t="shared" si="1"/>
        <v>20.655000000000001</v>
      </c>
      <c r="D42" s="11">
        <f>IF(D39&gt;0,D41+0.25,0)</f>
        <v>12.75</v>
      </c>
      <c r="E42" s="49">
        <f t="shared" ref="E42:M42" si="12">($D$42*(E31/100)*(1-$F$14))+((1-$F$14)*$F$24)-$F$15-SUMPRODUCT($L$11:$L$25,$N$11:$N$25)-((E31/100)*(1-$F$14)*($F$19+$F$20))</f>
        <v>144.95000000000002</v>
      </c>
      <c r="F42" s="48">
        <f t="shared" si="12"/>
        <v>165.16250000000002</v>
      </c>
      <c r="G42" s="48">
        <f t="shared" si="12"/>
        <v>185.37500000000003</v>
      </c>
      <c r="H42" s="48">
        <f t="shared" si="12"/>
        <v>205.58750000000003</v>
      </c>
      <c r="I42" s="48">
        <f t="shared" si="12"/>
        <v>225.8</v>
      </c>
      <c r="J42" s="48">
        <f t="shared" si="12"/>
        <v>246.01250000000002</v>
      </c>
      <c r="K42" s="48">
        <f t="shared" si="12"/>
        <v>266.22500000000002</v>
      </c>
      <c r="L42" s="48">
        <f t="shared" si="12"/>
        <v>286.4375</v>
      </c>
      <c r="M42" s="53">
        <f t="shared" si="12"/>
        <v>306.65000000000003</v>
      </c>
      <c r="N42" s="5"/>
      <c r="O42" s="19"/>
      <c r="Q42" s="25"/>
    </row>
    <row r="43" spans="1:17" x14ac:dyDescent="0.3">
      <c r="A43" s="23"/>
      <c r="C43" s="42">
        <f t="shared" si="1"/>
        <v>21.060000000000002</v>
      </c>
      <c r="D43" s="11">
        <f>IF(D39&gt;0,D42+0.25,0)</f>
        <v>13</v>
      </c>
      <c r="E43" s="49">
        <f t="shared" ref="E43:M43" si="13">($D$43*(E31/100)*(1-$F$14))+((1-$F$14)*$F$24)-$F$15-SUMPRODUCT($L$11:$L$25,$N$11:$N$25)-((E31/100)*(1-$F$14)*($F$19+$F$20))</f>
        <v>155.45000000000002</v>
      </c>
      <c r="F43" s="48">
        <f t="shared" si="13"/>
        <v>176.10000000000002</v>
      </c>
      <c r="G43" s="48">
        <f t="shared" si="13"/>
        <v>196.75000000000003</v>
      </c>
      <c r="H43" s="48">
        <f t="shared" si="13"/>
        <v>217.40000000000003</v>
      </c>
      <c r="I43" s="48">
        <f t="shared" si="13"/>
        <v>238.05</v>
      </c>
      <c r="J43" s="48">
        <f t="shared" si="13"/>
        <v>258.70000000000005</v>
      </c>
      <c r="K43" s="48">
        <f t="shared" si="13"/>
        <v>279.35000000000002</v>
      </c>
      <c r="L43" s="48">
        <f t="shared" si="13"/>
        <v>300</v>
      </c>
      <c r="M43" s="53">
        <f t="shared" si="13"/>
        <v>320.65000000000003</v>
      </c>
      <c r="N43" s="5"/>
      <c r="O43" s="19"/>
      <c r="Q43" s="25"/>
    </row>
    <row r="44" spans="1:17" x14ac:dyDescent="0.3">
      <c r="A44" s="23"/>
      <c r="C44" s="42">
        <f t="shared" si="1"/>
        <v>21.465</v>
      </c>
      <c r="D44" s="11">
        <f>IF(D39&gt;0,D43+0.25,0)</f>
        <v>13.25</v>
      </c>
      <c r="E44" s="49">
        <f t="shared" ref="E44:M44" si="14">($D$44*(E31/100)*(1-$F$14))+((1-$F$14)*$F$24)-$F$15-SUMPRODUCT($L$11:$L$25,$N$11:$N$25)-((E31/100)*(1-$F$14)*($F$19+$F$20))</f>
        <v>165.95000000000002</v>
      </c>
      <c r="F44" s="48">
        <f t="shared" si="14"/>
        <v>187.03750000000002</v>
      </c>
      <c r="G44" s="48">
        <f t="shared" si="14"/>
        <v>208.12500000000003</v>
      </c>
      <c r="H44" s="48">
        <f t="shared" si="14"/>
        <v>229.21250000000003</v>
      </c>
      <c r="I44" s="48">
        <f t="shared" si="14"/>
        <v>250.3</v>
      </c>
      <c r="J44" s="48">
        <f t="shared" si="14"/>
        <v>271.38750000000005</v>
      </c>
      <c r="K44" s="48">
        <f t="shared" si="14"/>
        <v>292.47500000000002</v>
      </c>
      <c r="L44" s="48">
        <f t="shared" si="14"/>
        <v>313.5625</v>
      </c>
      <c r="M44" s="53">
        <f t="shared" si="14"/>
        <v>334.65000000000003</v>
      </c>
      <c r="N44" s="5"/>
      <c r="O44" s="19"/>
      <c r="Q44" s="25"/>
    </row>
    <row r="45" spans="1:17" x14ac:dyDescent="0.3">
      <c r="A45" s="23"/>
      <c r="C45" s="42">
        <f t="shared" si="1"/>
        <v>21.87</v>
      </c>
      <c r="D45" s="11">
        <f>IF(D39&gt;0,D44+0.25,0)</f>
        <v>13.5</v>
      </c>
      <c r="E45" s="49">
        <f t="shared" ref="E45:M45" si="15">($D$45*(E31/100)*(1-$F$14))+((1-$F$14)*$F$24)-$F$15-SUMPRODUCT($L$11:$L$25,$N$11:$N$25)-((E31/100)*(1-$F$14)*($F$19+$F$20))</f>
        <v>176.45000000000002</v>
      </c>
      <c r="F45" s="48">
        <f t="shared" si="15"/>
        <v>197.97500000000002</v>
      </c>
      <c r="G45" s="48">
        <f t="shared" si="15"/>
        <v>219.50000000000003</v>
      </c>
      <c r="H45" s="48">
        <f t="shared" si="15"/>
        <v>241.02500000000003</v>
      </c>
      <c r="I45" s="48">
        <f t="shared" si="15"/>
        <v>262.55</v>
      </c>
      <c r="J45" s="48">
        <f t="shared" si="15"/>
        <v>284.07500000000005</v>
      </c>
      <c r="K45" s="48">
        <f t="shared" si="15"/>
        <v>305.60000000000002</v>
      </c>
      <c r="L45" s="48">
        <f t="shared" si="15"/>
        <v>327.125</v>
      </c>
      <c r="M45" s="53">
        <f t="shared" si="15"/>
        <v>348.65000000000003</v>
      </c>
      <c r="N45" s="5"/>
      <c r="O45" s="19"/>
      <c r="Q45" s="25"/>
    </row>
    <row r="46" spans="1:17" ht="19.5" thickBot="1" x14ac:dyDescent="0.35">
      <c r="A46" s="23"/>
      <c r="C46" s="42">
        <f t="shared" si="1"/>
        <v>22.275000000000002</v>
      </c>
      <c r="D46" s="11">
        <f>IF(D39&gt;0,D45+0.25,0)</f>
        <v>13.75</v>
      </c>
      <c r="E46" s="50">
        <f t="shared" ref="E46:M46" si="16">($D$46*(E31/100)*(1-$F$14))+((1-$F$14)*$F$24)-$F$15-SUMPRODUCT($L$11:$L$25,$N$11:$N$25)-((E31/100)*(1-$F$14)*($F$19+$F$20))</f>
        <v>186.95000000000002</v>
      </c>
      <c r="F46" s="54">
        <f t="shared" si="16"/>
        <v>208.91250000000002</v>
      </c>
      <c r="G46" s="54">
        <f t="shared" si="16"/>
        <v>230.87500000000003</v>
      </c>
      <c r="H46" s="54">
        <f t="shared" si="16"/>
        <v>252.83750000000003</v>
      </c>
      <c r="I46" s="54">
        <f t="shared" si="16"/>
        <v>274.8</v>
      </c>
      <c r="J46" s="54">
        <f t="shared" si="16"/>
        <v>296.76250000000005</v>
      </c>
      <c r="K46" s="54">
        <f t="shared" si="16"/>
        <v>318.72500000000002</v>
      </c>
      <c r="L46" s="54">
        <f t="shared" si="16"/>
        <v>340.6875</v>
      </c>
      <c r="M46" s="55">
        <f t="shared" si="16"/>
        <v>362.65000000000003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41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28</v>
      </c>
      <c r="E51" s="5"/>
      <c r="F51" s="5"/>
      <c r="G51" s="5"/>
      <c r="H51" s="5"/>
      <c r="I51" s="8" t="s">
        <v>2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27</v>
      </c>
      <c r="D52" s="9" t="s">
        <v>3</v>
      </c>
      <c r="E52" s="31">
        <f>IF(I52&gt;0,F52-250,0)</f>
        <v>6000</v>
      </c>
      <c r="F52" s="31">
        <f>IF(I52&gt;0,G52-250,0)</f>
        <v>6250</v>
      </c>
      <c r="G52" s="31">
        <f>IF(I52&gt;0,H52-250,0)</f>
        <v>6500</v>
      </c>
      <c r="H52" s="31">
        <f>IF(I52&gt;0,I52-250,0)</f>
        <v>6750</v>
      </c>
      <c r="I52" s="63">
        <f>F12</f>
        <v>7000</v>
      </c>
      <c r="J52" s="31">
        <f>IF(I52&gt;0,I52+250,0)</f>
        <v>7250</v>
      </c>
      <c r="K52" s="31">
        <f>IF(I52&gt;0,J52+250,0)</f>
        <v>7500</v>
      </c>
      <c r="L52" s="31">
        <f>IF(I52&gt;0,K52+250,0)</f>
        <v>7750</v>
      </c>
      <c r="M52" s="31">
        <f>IF(I52&gt;0,L52+250,0)</f>
        <v>8000</v>
      </c>
      <c r="N52" s="5"/>
      <c r="O52" s="19"/>
      <c r="Q52" s="25"/>
    </row>
    <row r="53" spans="1:17" x14ac:dyDescent="0.3">
      <c r="A53" s="23"/>
      <c r="C53" s="42">
        <f t="shared" ref="C53:C67" si="17">D53*1.62</f>
        <v>16.605</v>
      </c>
      <c r="D53" s="11">
        <f>IF(D60&gt;0,D54-0.25,0)</f>
        <v>10.25</v>
      </c>
      <c r="E53" s="47">
        <f t="shared" ref="E53:M53" si="18">($D$53*(E52/100)*$F$14)+($F$14*$F$24)+$F$15-SUMPRODUCT($L$11:$L$25,$M$11:$M$25)-((E52/100)*$F$14*($F$19+$F$20))</f>
        <v>144.4</v>
      </c>
      <c r="F53" s="51">
        <f>($D$53*(F52/100)*$F$14)+($F$14*$F$24)+$F$15-SUMPRODUCT($L$11:$L$25,$M$11:$M$25)-((F52/100)*$F$14*($F$19+$F$20))</f>
        <v>151.1875</v>
      </c>
      <c r="G53" s="51">
        <f t="shared" si="18"/>
        <v>157.97499999999999</v>
      </c>
      <c r="H53" s="51">
        <f>($D$53*(H52/100)*$F$14)+($F$14*$F$24)+$F$15-SUMPRODUCT($L$11:$L$25,$M$11:$M$25)-((H52/100)*$F$14*($F$19+$F$20))</f>
        <v>164.76249999999999</v>
      </c>
      <c r="I53" s="51">
        <f t="shared" si="18"/>
        <v>171.55</v>
      </c>
      <c r="J53" s="51">
        <f t="shared" si="18"/>
        <v>178.33750000000001</v>
      </c>
      <c r="K53" s="51">
        <f t="shared" si="18"/>
        <v>185.125</v>
      </c>
      <c r="L53" s="51">
        <f t="shared" si="18"/>
        <v>191.91249999999999</v>
      </c>
      <c r="M53" s="52">
        <f t="shared" si="18"/>
        <v>198.7</v>
      </c>
      <c r="N53" s="5"/>
      <c r="O53" s="19"/>
      <c r="Q53" s="25"/>
    </row>
    <row r="54" spans="1:17" x14ac:dyDescent="0.3">
      <c r="A54" s="23"/>
      <c r="C54" s="42">
        <f t="shared" si="17"/>
        <v>17.010000000000002</v>
      </c>
      <c r="D54" s="11">
        <f>IF(D60&gt;0,D55-0.25,0)</f>
        <v>10.5</v>
      </c>
      <c r="E54" s="49">
        <f t="shared" ref="E54:M54" si="19">($D$54*(E52/100)*$F$14)+($F$14*$F$24)+$F$15-SUMPRODUCT($L$11:$L$25,$M$11:$M$25)-((E52/100)*$F$14*($F$19+$F$20))</f>
        <v>148.9</v>
      </c>
      <c r="F54" s="48">
        <f t="shared" si="19"/>
        <v>155.875</v>
      </c>
      <c r="G54" s="48">
        <f t="shared" si="19"/>
        <v>162.85</v>
      </c>
      <c r="H54" s="48">
        <f t="shared" si="19"/>
        <v>169.82499999999999</v>
      </c>
      <c r="I54" s="48">
        <f t="shared" si="19"/>
        <v>176.8</v>
      </c>
      <c r="J54" s="48">
        <f t="shared" si="19"/>
        <v>183.77500000000001</v>
      </c>
      <c r="K54" s="48">
        <f t="shared" si="19"/>
        <v>190.75</v>
      </c>
      <c r="L54" s="48">
        <f t="shared" si="19"/>
        <v>197.72499999999999</v>
      </c>
      <c r="M54" s="53">
        <f t="shared" si="19"/>
        <v>204.7</v>
      </c>
      <c r="N54" s="5"/>
      <c r="O54" s="19"/>
      <c r="Q54" s="25"/>
    </row>
    <row r="55" spans="1:17" x14ac:dyDescent="0.3">
      <c r="A55" s="23"/>
      <c r="C55" s="42">
        <f t="shared" si="17"/>
        <v>17.415000000000003</v>
      </c>
      <c r="D55" s="11">
        <f>IF(D60&gt;0,D56-0.25,0)</f>
        <v>10.75</v>
      </c>
      <c r="E55" s="49">
        <f t="shared" ref="E55:M55" si="20">($D$55*(E52/100)*$F$14)+($F$14*$F$24)+$F$15-SUMPRODUCT($L$11:$L$25,$M$11:$M$25)-((E52/100)*$F$14*($F$19+$F$20))</f>
        <v>153.4</v>
      </c>
      <c r="F55" s="48">
        <f t="shared" si="20"/>
        <v>160.5625</v>
      </c>
      <c r="G55" s="48">
        <f t="shared" si="20"/>
        <v>167.72499999999999</v>
      </c>
      <c r="H55" s="48">
        <f t="shared" si="20"/>
        <v>174.88749999999999</v>
      </c>
      <c r="I55" s="48">
        <f t="shared" si="20"/>
        <v>182.05</v>
      </c>
      <c r="J55" s="48">
        <f t="shared" si="20"/>
        <v>189.21250000000001</v>
      </c>
      <c r="K55" s="48">
        <f t="shared" si="20"/>
        <v>196.375</v>
      </c>
      <c r="L55" s="48">
        <f t="shared" si="20"/>
        <v>203.53749999999999</v>
      </c>
      <c r="M55" s="53">
        <f t="shared" si="20"/>
        <v>210.7</v>
      </c>
      <c r="N55" s="5"/>
      <c r="O55" s="19"/>
      <c r="Q55" s="25"/>
    </row>
    <row r="56" spans="1:17" x14ac:dyDescent="0.3">
      <c r="A56" s="23"/>
      <c r="C56" s="42">
        <f t="shared" si="17"/>
        <v>17.82</v>
      </c>
      <c r="D56" s="11">
        <f>IF(D60&gt;0,D57-0.25,0)</f>
        <v>11</v>
      </c>
      <c r="E56" s="49">
        <f t="shared" ref="E56:M56" si="21">($D$56*(E52/100)*$F$14)+($F$14*$F$24)+$F$15-SUMPRODUCT($L$11:$L$25,$M$11:$M$25)-((E52/100)*$F$14*($F$19+$F$20))</f>
        <v>157.9</v>
      </c>
      <c r="F56" s="48">
        <f t="shared" si="21"/>
        <v>165.25</v>
      </c>
      <c r="G56" s="48">
        <f t="shared" si="21"/>
        <v>172.6</v>
      </c>
      <c r="H56" s="48">
        <f t="shared" si="21"/>
        <v>179.95</v>
      </c>
      <c r="I56" s="48">
        <f t="shared" si="21"/>
        <v>187.3</v>
      </c>
      <c r="J56" s="48">
        <f t="shared" si="21"/>
        <v>194.65</v>
      </c>
      <c r="K56" s="48">
        <f t="shared" si="21"/>
        <v>202</v>
      </c>
      <c r="L56" s="48">
        <f t="shared" si="21"/>
        <v>209.35</v>
      </c>
      <c r="M56" s="53">
        <f t="shared" si="21"/>
        <v>216.7</v>
      </c>
      <c r="N56" s="5"/>
      <c r="O56" s="19"/>
      <c r="Q56" s="25"/>
    </row>
    <row r="57" spans="1:17" x14ac:dyDescent="0.3">
      <c r="A57" s="23"/>
      <c r="C57" s="42">
        <f t="shared" si="17"/>
        <v>18.225000000000001</v>
      </c>
      <c r="D57" s="11">
        <f>IF(D60&gt;0,D58-0.25,0)</f>
        <v>11.25</v>
      </c>
      <c r="E57" s="49">
        <f t="shared" ref="E57:M57" si="22">($D$57*(E52/100)*$F$14)+($F$14*$F$24)+$F$15-SUMPRODUCT($L$11:$L$25,$M$11:$M$25)-((E52/100)*$F$14*($F$19+$F$20))</f>
        <v>162.4</v>
      </c>
      <c r="F57" s="48">
        <f t="shared" si="22"/>
        <v>169.9375</v>
      </c>
      <c r="G57" s="48">
        <f t="shared" si="22"/>
        <v>177.47499999999999</v>
      </c>
      <c r="H57" s="48">
        <f t="shared" si="22"/>
        <v>185.01249999999999</v>
      </c>
      <c r="I57" s="48">
        <f t="shared" si="22"/>
        <v>192.55</v>
      </c>
      <c r="J57" s="48">
        <f t="shared" si="22"/>
        <v>200.08750000000001</v>
      </c>
      <c r="K57" s="48">
        <f t="shared" si="22"/>
        <v>207.625</v>
      </c>
      <c r="L57" s="48">
        <f t="shared" si="22"/>
        <v>215.16249999999999</v>
      </c>
      <c r="M57" s="53">
        <f t="shared" si="22"/>
        <v>222.7</v>
      </c>
      <c r="N57" s="5"/>
      <c r="O57" s="19"/>
      <c r="Q57" s="25"/>
    </row>
    <row r="58" spans="1:17" x14ac:dyDescent="0.3">
      <c r="A58" s="23"/>
      <c r="C58" s="42">
        <f t="shared" si="17"/>
        <v>18.630000000000003</v>
      </c>
      <c r="D58" s="11">
        <f>IF(D60&gt;0,D59-0.25,0)</f>
        <v>11.5</v>
      </c>
      <c r="E58" s="49">
        <f t="shared" ref="E58:M58" si="23">($D$58*(E52/100)*$F$14)+($F$14*$F$24)+$F$15-SUMPRODUCT($L$11:$L$25,$M$11:$M$25)-((E52/100)*$F$14*($F$19+$F$20))</f>
        <v>166.9</v>
      </c>
      <c r="F58" s="48">
        <f t="shared" si="23"/>
        <v>174.625</v>
      </c>
      <c r="G58" s="48">
        <f t="shared" si="23"/>
        <v>182.35</v>
      </c>
      <c r="H58" s="48">
        <f t="shared" si="23"/>
        <v>190.07499999999999</v>
      </c>
      <c r="I58" s="48">
        <f t="shared" si="23"/>
        <v>197.8</v>
      </c>
      <c r="J58" s="48">
        <f t="shared" si="23"/>
        <v>205.52500000000001</v>
      </c>
      <c r="K58" s="48">
        <f t="shared" si="23"/>
        <v>213.25</v>
      </c>
      <c r="L58" s="48">
        <f t="shared" si="23"/>
        <v>220.97499999999999</v>
      </c>
      <c r="M58" s="53">
        <f t="shared" si="23"/>
        <v>228.7</v>
      </c>
      <c r="N58" s="5"/>
      <c r="O58" s="19"/>
      <c r="Q58" s="25"/>
    </row>
    <row r="59" spans="1:17" x14ac:dyDescent="0.3">
      <c r="A59" s="23"/>
      <c r="C59" s="42">
        <f t="shared" si="17"/>
        <v>19.035</v>
      </c>
      <c r="D59" s="11">
        <f>IF(D60&gt;0,D60-0.25,0)</f>
        <v>11.75</v>
      </c>
      <c r="E59" s="49">
        <f t="shared" ref="E59:M59" si="24">($D$59*(E52/100)*$F$14)+($F$14*$F$24)+$F$15-SUMPRODUCT($L$11:$L$25,$M$11:$M$25)-((E52/100)*$F$14*($F$19+$F$20))</f>
        <v>171.4</v>
      </c>
      <c r="F59" s="48">
        <f t="shared" si="24"/>
        <v>179.3125</v>
      </c>
      <c r="G59" s="48">
        <f t="shared" si="24"/>
        <v>187.22499999999999</v>
      </c>
      <c r="H59" s="48">
        <f t="shared" si="24"/>
        <v>195.13749999999999</v>
      </c>
      <c r="I59" s="48">
        <f t="shared" si="24"/>
        <v>203.05</v>
      </c>
      <c r="J59" s="48">
        <f t="shared" si="24"/>
        <v>210.96250000000001</v>
      </c>
      <c r="K59" s="48">
        <f t="shared" si="24"/>
        <v>218.875</v>
      </c>
      <c r="L59" s="48">
        <f t="shared" si="24"/>
        <v>226.78749999999999</v>
      </c>
      <c r="M59" s="53">
        <f t="shared" si="24"/>
        <v>234.7</v>
      </c>
      <c r="N59" s="5"/>
      <c r="O59" s="19"/>
      <c r="Q59" s="25"/>
    </row>
    <row r="60" spans="1:17" x14ac:dyDescent="0.3">
      <c r="A60" s="23"/>
      <c r="C60" s="42">
        <f t="shared" si="17"/>
        <v>19.440000000000001</v>
      </c>
      <c r="D60" s="62">
        <f>F11</f>
        <v>12</v>
      </c>
      <c r="E60" s="49">
        <f t="shared" ref="E60:M60" si="25">($D$60*(E52/100)*$F$14)+($F$14*$F$24)+$F$15-SUMPRODUCT($L$11:$L$25,$M$11:$M$25)-((E52/100)*$F$14*($F$19+$F$20))</f>
        <v>175.9</v>
      </c>
      <c r="F60" s="48">
        <f t="shared" si="25"/>
        <v>184</v>
      </c>
      <c r="G60" s="48">
        <f t="shared" si="25"/>
        <v>192.1</v>
      </c>
      <c r="H60" s="48">
        <f t="shared" si="25"/>
        <v>200.2</v>
      </c>
      <c r="I60" s="61">
        <f t="shared" si="25"/>
        <v>208.3</v>
      </c>
      <c r="J60" s="48">
        <f t="shared" si="25"/>
        <v>216.4</v>
      </c>
      <c r="K60" s="48">
        <f t="shared" si="25"/>
        <v>224.5</v>
      </c>
      <c r="L60" s="48">
        <f t="shared" si="25"/>
        <v>232.6</v>
      </c>
      <c r="M60" s="53">
        <f t="shared" si="25"/>
        <v>240.7</v>
      </c>
      <c r="N60" s="5"/>
      <c r="O60" s="19"/>
      <c r="Q60" s="25"/>
    </row>
    <row r="61" spans="1:17" x14ac:dyDescent="0.3">
      <c r="A61" s="23"/>
      <c r="C61" s="42">
        <f t="shared" si="17"/>
        <v>19.845000000000002</v>
      </c>
      <c r="D61" s="11">
        <f>IF(D60&gt;0,D60+0.25,0)</f>
        <v>12.25</v>
      </c>
      <c r="E61" s="49">
        <f t="shared" ref="E61:M61" si="26">($D$61*(E52/100)*$F$14)+($F$14*$F$24)+$F$15-SUMPRODUCT($L$11:$L$25,$M$11:$M$25)-((E52/100)*$F$14*($F$19+$F$20))</f>
        <v>180.4</v>
      </c>
      <c r="F61" s="48">
        <f t="shared" si="26"/>
        <v>188.6875</v>
      </c>
      <c r="G61" s="48">
        <f t="shared" si="26"/>
        <v>196.97499999999999</v>
      </c>
      <c r="H61" s="48">
        <f t="shared" si="26"/>
        <v>205.26249999999999</v>
      </c>
      <c r="I61" s="48">
        <f t="shared" si="26"/>
        <v>213.55</v>
      </c>
      <c r="J61" s="48">
        <f t="shared" si="26"/>
        <v>221.83750000000001</v>
      </c>
      <c r="K61" s="48">
        <f t="shared" si="26"/>
        <v>230.125</v>
      </c>
      <c r="L61" s="48">
        <f t="shared" si="26"/>
        <v>238.41249999999999</v>
      </c>
      <c r="M61" s="53">
        <f t="shared" si="26"/>
        <v>246.7</v>
      </c>
      <c r="N61" s="5"/>
      <c r="O61" s="19"/>
      <c r="Q61" s="25"/>
    </row>
    <row r="62" spans="1:17" x14ac:dyDescent="0.3">
      <c r="A62" s="23"/>
      <c r="C62" s="42">
        <f t="shared" si="17"/>
        <v>20.25</v>
      </c>
      <c r="D62" s="11">
        <f>IF(D60&gt;0,D61+0.25,0)</f>
        <v>12.5</v>
      </c>
      <c r="E62" s="49">
        <f t="shared" ref="E62:M62" si="27">($D$62*(E52/100)*$F$14)+($F$14*$F$24)+$F$15-SUMPRODUCT($L$11:$L$25,$M$11:$M$25)-((E52/100)*$F$14*($F$19+$F$20))</f>
        <v>184.9</v>
      </c>
      <c r="F62" s="48">
        <f t="shared" si="27"/>
        <v>193.375</v>
      </c>
      <c r="G62" s="48">
        <f t="shared" si="27"/>
        <v>201.85</v>
      </c>
      <c r="H62" s="48">
        <f t="shared" si="27"/>
        <v>210.32499999999999</v>
      </c>
      <c r="I62" s="48">
        <f t="shared" si="27"/>
        <v>218.8</v>
      </c>
      <c r="J62" s="48">
        <f t="shared" si="27"/>
        <v>227.27500000000001</v>
      </c>
      <c r="K62" s="48">
        <f t="shared" si="27"/>
        <v>235.75</v>
      </c>
      <c r="L62" s="48">
        <f t="shared" si="27"/>
        <v>244.22499999999999</v>
      </c>
      <c r="M62" s="53">
        <f t="shared" si="27"/>
        <v>252.7</v>
      </c>
      <c r="N62" s="5"/>
      <c r="O62" s="19"/>
      <c r="Q62" s="25"/>
    </row>
    <row r="63" spans="1:17" x14ac:dyDescent="0.3">
      <c r="A63" s="23"/>
      <c r="C63" s="42">
        <f t="shared" si="17"/>
        <v>20.655000000000001</v>
      </c>
      <c r="D63" s="11">
        <f>IF(D60&gt;0,D62+0.25,0)</f>
        <v>12.75</v>
      </c>
      <c r="E63" s="49">
        <f t="shared" ref="E63:M63" si="28">($D$63*(E52/100)*$F$14)+($F$14*$F$24)+$F$15-SUMPRODUCT($L$11:$L$25,$M$11:$M$25)-((E52/100)*$F$14*($F$19+$F$20))</f>
        <v>189.4</v>
      </c>
      <c r="F63" s="48">
        <f t="shared" si="28"/>
        <v>198.0625</v>
      </c>
      <c r="G63" s="48">
        <f t="shared" si="28"/>
        <v>206.72499999999999</v>
      </c>
      <c r="H63" s="48">
        <f t="shared" si="28"/>
        <v>215.38749999999999</v>
      </c>
      <c r="I63" s="48">
        <f t="shared" si="28"/>
        <v>224.05</v>
      </c>
      <c r="J63" s="48">
        <f t="shared" si="28"/>
        <v>232.71250000000001</v>
      </c>
      <c r="K63" s="48">
        <f t="shared" si="28"/>
        <v>241.375</v>
      </c>
      <c r="L63" s="48">
        <f t="shared" si="28"/>
        <v>250.03749999999999</v>
      </c>
      <c r="M63" s="53">
        <f t="shared" si="28"/>
        <v>258.7</v>
      </c>
      <c r="N63" s="5"/>
      <c r="O63" s="19"/>
      <c r="Q63" s="25"/>
    </row>
    <row r="64" spans="1:17" x14ac:dyDescent="0.3">
      <c r="A64" s="23"/>
      <c r="C64" s="42">
        <f t="shared" si="17"/>
        <v>21.060000000000002</v>
      </c>
      <c r="D64" s="11">
        <f>IF(D60&gt;0,D63+0.25,0)</f>
        <v>13</v>
      </c>
      <c r="E64" s="49">
        <f t="shared" ref="E64:M64" si="29">($D$64*(E52/100)*$F$14)+($F$14*$F$24)+$F$15-SUMPRODUCT($L$11:$L$25,$M$11:$M$25)-((E52/100)*$F$14*($F$19+$F$20))</f>
        <v>193.9</v>
      </c>
      <c r="F64" s="48">
        <f t="shared" si="29"/>
        <v>202.75</v>
      </c>
      <c r="G64" s="48">
        <f t="shared" si="29"/>
        <v>211.6</v>
      </c>
      <c r="H64" s="48">
        <f t="shared" si="29"/>
        <v>220.45</v>
      </c>
      <c r="I64" s="48">
        <f t="shared" si="29"/>
        <v>229.3</v>
      </c>
      <c r="J64" s="48">
        <f t="shared" si="29"/>
        <v>238.15</v>
      </c>
      <c r="K64" s="48">
        <f t="shared" si="29"/>
        <v>247</v>
      </c>
      <c r="L64" s="48">
        <f t="shared" si="29"/>
        <v>255.85</v>
      </c>
      <c r="M64" s="53">
        <f t="shared" si="29"/>
        <v>264.7</v>
      </c>
      <c r="N64" s="5"/>
      <c r="O64" s="19"/>
      <c r="Q64" s="25"/>
    </row>
    <row r="65" spans="1:17" x14ac:dyDescent="0.3">
      <c r="A65" s="23"/>
      <c r="C65" s="42">
        <f t="shared" si="17"/>
        <v>21.465</v>
      </c>
      <c r="D65" s="11">
        <f>IF(D60&gt;0,D64+0.25,0)</f>
        <v>13.25</v>
      </c>
      <c r="E65" s="49">
        <f t="shared" ref="E65:M65" si="30">($D$65*(E52/100)*$F$14)+($F$14*$F$24)+$F$15-SUMPRODUCT($L$11:$L$25,$M$11:$M$25)-((E52/100)*$F$14*($F$19+$F$20))</f>
        <v>198.4</v>
      </c>
      <c r="F65" s="48">
        <f t="shared" si="30"/>
        <v>207.4375</v>
      </c>
      <c r="G65" s="48">
        <f t="shared" si="30"/>
        <v>216.47499999999999</v>
      </c>
      <c r="H65" s="48">
        <f t="shared" si="30"/>
        <v>225.51249999999999</v>
      </c>
      <c r="I65" s="48">
        <f t="shared" si="30"/>
        <v>234.55</v>
      </c>
      <c r="J65" s="48">
        <f t="shared" si="30"/>
        <v>243.58750000000001</v>
      </c>
      <c r="K65" s="48">
        <f t="shared" si="30"/>
        <v>252.625</v>
      </c>
      <c r="L65" s="48">
        <f t="shared" si="30"/>
        <v>261.66250000000002</v>
      </c>
      <c r="M65" s="53">
        <f t="shared" si="30"/>
        <v>270.7</v>
      </c>
      <c r="N65" s="5"/>
      <c r="O65" s="19"/>
      <c r="Q65" s="25"/>
    </row>
    <row r="66" spans="1:17" x14ac:dyDescent="0.3">
      <c r="A66" s="23"/>
      <c r="C66" s="42">
        <f t="shared" si="17"/>
        <v>21.87</v>
      </c>
      <c r="D66" s="11">
        <f>IF(D60&gt;0,D65+0.25,0)</f>
        <v>13.5</v>
      </c>
      <c r="E66" s="49">
        <f t="shared" ref="E66:M66" si="31">($D$66*(E52/100)*$F$14)+($F$14*$F$24)+$F$15-SUMPRODUCT($L$11:$L$25,$M$11:$M$25)-((E52/100)*$F$14*($F$19+$F$20))</f>
        <v>202.9</v>
      </c>
      <c r="F66" s="48">
        <f t="shared" si="31"/>
        <v>212.125</v>
      </c>
      <c r="G66" s="48">
        <f t="shared" si="31"/>
        <v>221.35</v>
      </c>
      <c r="H66" s="48">
        <f t="shared" si="31"/>
        <v>230.57499999999999</v>
      </c>
      <c r="I66" s="48">
        <f t="shared" si="31"/>
        <v>239.8</v>
      </c>
      <c r="J66" s="48">
        <f t="shared" si="31"/>
        <v>249.02500000000001</v>
      </c>
      <c r="K66" s="48">
        <f t="shared" si="31"/>
        <v>258.25</v>
      </c>
      <c r="L66" s="48">
        <f t="shared" si="31"/>
        <v>267.47500000000002</v>
      </c>
      <c r="M66" s="53">
        <f t="shared" si="31"/>
        <v>276.7</v>
      </c>
      <c r="N66" s="5"/>
      <c r="O66" s="19"/>
      <c r="Q66" s="25"/>
    </row>
    <row r="67" spans="1:17" ht="19.5" thickBot="1" x14ac:dyDescent="0.35">
      <c r="A67" s="23"/>
      <c r="C67" s="42">
        <f t="shared" si="17"/>
        <v>22.275000000000002</v>
      </c>
      <c r="D67" s="11">
        <f>IF(D60&gt;0,D66+0.25,0)</f>
        <v>13.75</v>
      </c>
      <c r="E67" s="50">
        <f t="shared" ref="E67:M67" si="32">($D$67*(E52/100)*$F$14)+($F$14*$F$24)+$F$15-SUMPRODUCT($L$11:$L$25,$M$11:$M$25)-((E52/100)*$F$14*($F$19+$F$20))</f>
        <v>207.4</v>
      </c>
      <c r="F67" s="54">
        <f t="shared" si="32"/>
        <v>216.8125</v>
      </c>
      <c r="G67" s="54">
        <f t="shared" si="32"/>
        <v>226.22499999999999</v>
      </c>
      <c r="H67" s="54">
        <f t="shared" si="32"/>
        <v>235.63749999999999</v>
      </c>
      <c r="I67" s="54">
        <f t="shared" si="32"/>
        <v>245.05</v>
      </c>
      <c r="J67" s="54">
        <f t="shared" si="32"/>
        <v>254.46250000000001</v>
      </c>
      <c r="K67" s="54">
        <f t="shared" si="32"/>
        <v>263.875</v>
      </c>
      <c r="L67" s="54">
        <f t="shared" si="32"/>
        <v>273.28750000000002</v>
      </c>
      <c r="M67" s="55">
        <f t="shared" si="32"/>
        <v>282.7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80</v>
      </c>
      <c r="Q70" s="25"/>
    </row>
    <row r="71" spans="1:17" x14ac:dyDescent="0.3">
      <c r="A71" s="23"/>
      <c r="C71" s="41" t="s">
        <v>29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1568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1567" priority="3132" operator="greaterThan">
      <formula>0</formula>
    </cfRule>
    <cfRule type="cellIs" dxfId="1566" priority="3133" operator="greaterThan">
      <formula>0</formula>
    </cfRule>
  </conditionalFormatting>
  <conditionalFormatting sqref="E32:M46 E53:M67">
    <cfRule type="cellIs" dxfId="1565" priority="3131" operator="greaterThan">
      <formula>0</formula>
    </cfRule>
  </conditionalFormatting>
  <conditionalFormatting sqref="F32">
    <cfRule type="cellIs" dxfId="1564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63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62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61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60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9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58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7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6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55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54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53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52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51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0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9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8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47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46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45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44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43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42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1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0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39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538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537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536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535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534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533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532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531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530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529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8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527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6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525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524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23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522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521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520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519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518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517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516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515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514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513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2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511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0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509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508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07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506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505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504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503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502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501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500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499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498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497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6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495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4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493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492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491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490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489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488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487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486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485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484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483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482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481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80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479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78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477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476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475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474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473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472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471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470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469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468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467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466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465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4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463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2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461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460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459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458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457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456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455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454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453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452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451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450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449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8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447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6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445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444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443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442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441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440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439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438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437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436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435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434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433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2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431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0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429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428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427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426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425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424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423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422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421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420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419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418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417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6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415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4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413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412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411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410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409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408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407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406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405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404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403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402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401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400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99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98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97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96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395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394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393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392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391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390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389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388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387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386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385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4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83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2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81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80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1379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78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77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76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75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74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73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72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1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0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9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8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67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66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65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64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63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62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1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0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59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58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57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56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55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4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3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352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351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350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349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348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347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346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345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344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343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2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341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0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339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338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37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336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335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334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333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332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331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330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329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328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327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6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325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4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323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322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21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320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319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318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317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316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315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314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313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312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311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10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309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08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307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306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05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304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303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302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301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300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299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298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297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296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295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4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293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2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291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290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289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288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287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286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285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84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3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82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81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80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79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8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77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6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75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74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273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272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271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270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269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268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267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266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265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264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263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2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261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0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259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258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257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256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255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254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253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252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251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250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249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248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247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6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245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4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243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242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241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240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239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238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237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236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235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234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233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232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231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30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229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28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227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226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25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24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23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22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21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20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19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18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17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16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215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4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213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2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211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210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09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08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07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06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05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04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03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02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01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00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199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8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197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6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195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194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193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192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191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190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189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188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187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186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185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184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183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2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181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0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179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178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177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176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175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174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173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172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171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170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169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168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167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6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165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4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163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162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161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160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159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158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157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156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155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154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153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152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151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50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149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48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147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146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145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144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143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142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141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140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139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138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137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136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135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4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133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2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131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130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129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128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127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126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125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124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123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122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121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120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119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8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117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6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115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114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113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112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111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110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109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108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107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106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105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104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103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2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101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0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099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098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97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096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095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094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093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092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091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090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089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088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087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6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085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4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083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082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81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80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79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78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77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76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75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74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73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72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71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70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69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68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67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66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65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64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63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62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61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60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59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58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57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56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55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4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53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2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51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50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049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048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047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046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045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044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043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042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041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040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039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038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037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036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35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34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33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32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31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30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29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28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27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26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25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4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23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2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21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20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19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18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17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16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15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14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13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12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11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10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09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08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07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06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05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004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003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002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001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000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99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98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97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96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95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4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93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2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91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90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89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88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87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86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85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84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83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82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81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80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79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78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77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76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975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74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73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72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71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70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69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68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67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66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65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4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63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2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61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60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59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58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57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56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55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54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53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52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51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50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49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48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47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46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945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44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43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42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41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40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39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38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37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36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35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4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33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2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31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30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29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28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27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26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25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24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23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22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21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20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19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18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17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16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915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14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13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12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11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10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09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08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07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06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05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4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03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2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01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0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99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98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97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96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95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94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93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92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91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90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89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88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87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86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85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4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83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82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81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80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79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78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77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76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75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4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73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2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71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70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69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68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7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66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65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64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63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62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61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60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59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58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57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56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55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54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53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52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51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50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49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48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47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46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45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4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43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2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41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40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39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38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37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36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35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34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33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32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31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30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29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28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27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26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25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24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23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22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21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20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19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18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17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16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15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4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13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2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11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10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09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08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07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06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05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04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03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02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01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00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99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98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97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96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95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94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93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92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91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90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89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88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87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86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85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4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83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2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81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80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79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78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77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76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75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74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73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72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71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70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69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68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67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66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65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64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63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62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61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60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59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58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57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56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55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4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53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2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51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50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49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48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47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46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45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44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43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42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41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40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39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8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37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6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35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34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33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32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31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30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29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28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27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26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25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24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23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2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21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0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19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18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17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16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15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14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13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12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11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10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09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08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07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6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05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4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03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02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01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00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99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98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97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96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95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94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93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92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91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0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89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88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87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86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85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84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83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82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81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80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79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78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77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76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75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4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73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2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71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70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69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68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67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66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65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64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63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62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61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60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59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8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57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6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55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54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53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52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51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50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49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48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47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46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45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44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43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2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41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0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39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38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37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36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35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34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33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32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31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30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29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28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27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6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25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4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23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22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21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20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19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18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17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16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15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14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13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12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11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10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09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08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7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06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05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04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03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02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01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00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99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98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97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6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95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4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93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92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91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90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89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88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87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86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85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84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83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82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81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80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79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78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77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76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75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74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73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72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71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70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69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68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67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6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65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4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63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62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61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60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59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58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57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56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55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54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53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52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51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50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49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48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47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46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45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44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43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42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41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40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39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38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37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6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35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4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33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32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31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30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29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28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27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26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25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24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23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22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21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20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19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18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17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16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15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14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13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12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11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10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09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08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07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6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05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4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03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02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01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00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99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98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97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96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95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94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93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92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91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90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89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88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87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86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85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84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83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82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81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80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79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78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77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6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75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4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73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72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71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70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69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68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67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66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65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64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63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62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61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60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59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58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57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56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55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54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53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52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51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50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49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48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47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6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45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4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43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2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41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40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39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38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37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36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35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34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33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32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31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30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29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28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27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26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25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24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23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22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21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20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19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18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17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6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15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4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13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12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11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10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09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08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07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06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05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04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03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02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01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00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9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8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7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6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5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4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3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2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1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0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89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88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87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6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85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4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83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82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81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80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79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78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77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76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75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74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73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72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71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0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69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68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67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66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65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64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63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62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61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60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59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58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57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6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55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4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53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52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51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50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49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48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47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46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45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44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43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42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41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40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9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8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7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6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5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4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3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2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29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28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27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26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25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4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23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2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21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0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19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18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17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16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15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14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13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12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11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10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09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8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07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6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05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04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03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02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01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00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9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8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7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6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5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3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2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1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0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89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88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87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86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85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84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83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82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81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80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79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78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77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6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75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4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73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72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71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70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69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68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67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66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65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64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63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62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61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60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59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58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57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56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55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54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53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52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51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50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9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8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7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5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4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3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2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1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0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39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38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37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36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35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34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33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32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31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30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29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8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27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6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25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24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23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22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1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0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19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18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17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16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15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14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13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2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11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10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9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8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7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6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5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4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3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1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99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8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97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6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95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94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93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92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91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90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89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88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87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86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85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84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83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82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81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80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79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8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7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6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5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4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3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2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1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0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69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8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67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6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65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64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63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62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61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60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59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58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57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56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55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54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53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52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51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50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49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48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47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46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45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44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43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42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41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40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39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8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37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6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35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34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33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32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31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30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9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7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6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5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4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3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2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1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0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19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18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17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16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15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14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13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12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11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10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09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8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07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6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05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04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03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02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01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00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9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8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7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6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5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4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3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1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9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7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5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4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3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2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1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0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9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8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7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6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4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3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2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0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9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8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6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5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4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3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1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0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8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7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6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5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3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2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1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0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9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8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7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5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3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2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1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0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9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8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7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6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5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4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3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2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1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8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7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4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0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7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7"/>
  <sheetViews>
    <sheetView workbookViewId="0">
      <selection activeCell="V17" sqref="V17"/>
    </sheetView>
  </sheetViews>
  <sheetFormatPr defaultRowHeight="15" x14ac:dyDescent="0.25"/>
  <cols>
    <col min="2" max="2" width="11" customWidth="1"/>
    <col min="3" max="3" width="13.7109375" customWidth="1"/>
    <col min="4" max="4" width="14.5703125" customWidth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5"/>
      <c r="B2" s="110"/>
      <c r="C2" s="116" t="s">
        <v>76</v>
      </c>
      <c r="D2" s="117">
        <f>'Rice Land Tract 1 without PLC'!I31</f>
        <v>7000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25"/>
    </row>
    <row r="3" spans="1:18" ht="18.75" x14ac:dyDescent="0.3">
      <c r="A3" s="25"/>
      <c r="B3" s="111"/>
      <c r="C3" s="112" t="s">
        <v>72</v>
      </c>
      <c r="D3" s="112" t="s">
        <v>73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25"/>
    </row>
    <row r="4" spans="1:18" ht="30" x14ac:dyDescent="0.25">
      <c r="A4" s="25"/>
      <c r="B4" s="113" t="s">
        <v>71</v>
      </c>
      <c r="C4" s="114" t="s">
        <v>74</v>
      </c>
      <c r="D4" s="114" t="s">
        <v>75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25"/>
    </row>
    <row r="5" spans="1:18" x14ac:dyDescent="0.25">
      <c r="A5" s="25"/>
      <c r="B5" s="115">
        <f>'Rice Land Tract 1 without PLC'!D32</f>
        <v>10.25</v>
      </c>
      <c r="C5" s="115">
        <f>'Rice Land Tract 1 without PLC'!I32</f>
        <v>103.30000000000003</v>
      </c>
      <c r="D5" s="115">
        <f>'Rice Land Tract 1 without PLC'!F32</f>
        <v>55.787500000000023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25"/>
    </row>
    <row r="6" spans="1:18" x14ac:dyDescent="0.25">
      <c r="A6" s="25"/>
      <c r="B6" s="115">
        <f>'Rice Land Tract 1 without PLC'!D33</f>
        <v>10.5</v>
      </c>
      <c r="C6" s="115">
        <f>'Rice Land Tract 1 without PLC'!I33</f>
        <v>115.55000000000003</v>
      </c>
      <c r="D6" s="115">
        <f>'Rice Land Tract 1 without PLC'!F33</f>
        <v>66.725000000000023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25"/>
    </row>
    <row r="7" spans="1:18" x14ac:dyDescent="0.25">
      <c r="A7" s="25"/>
      <c r="B7" s="115">
        <f>'Rice Land Tract 1 without PLC'!D34</f>
        <v>10.75</v>
      </c>
      <c r="C7" s="115">
        <f>'Rice Land Tract 1 without PLC'!I34</f>
        <v>127.80000000000003</v>
      </c>
      <c r="D7" s="115">
        <f>'Rice Land Tract 1 without PLC'!F34</f>
        <v>77.662500000000023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5"/>
    </row>
    <row r="8" spans="1:18" x14ac:dyDescent="0.25">
      <c r="A8" s="25"/>
      <c r="B8" s="115">
        <f>'Rice Land Tract 1 without PLC'!D35</f>
        <v>11</v>
      </c>
      <c r="C8" s="115">
        <f>'Rice Land Tract 1 without PLC'!I35</f>
        <v>140.05000000000001</v>
      </c>
      <c r="D8" s="115">
        <f>'Rice Land Tract 1 without PLC'!F35</f>
        <v>88.600000000000023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25"/>
    </row>
    <row r="9" spans="1:18" x14ac:dyDescent="0.25">
      <c r="A9" s="25"/>
      <c r="B9" s="115">
        <f>'Rice Land Tract 1 without PLC'!D36</f>
        <v>11.25</v>
      </c>
      <c r="C9" s="115">
        <f>'Rice Land Tract 1 without PLC'!I36</f>
        <v>152.30000000000001</v>
      </c>
      <c r="D9" s="115">
        <f>'Rice Land Tract 1 without PLC'!F36</f>
        <v>99.537500000000023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25"/>
    </row>
    <row r="10" spans="1:18" x14ac:dyDescent="0.25">
      <c r="A10" s="25"/>
      <c r="B10" s="115">
        <f>'Rice Land Tract 1 without PLC'!D37</f>
        <v>11.5</v>
      </c>
      <c r="C10" s="115">
        <f>'Rice Land Tract 1 without PLC'!I37</f>
        <v>164.55</v>
      </c>
      <c r="D10" s="115">
        <f>'Rice Land Tract 1 without PLC'!F37</f>
        <v>110.47500000000002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25"/>
    </row>
    <row r="11" spans="1:18" x14ac:dyDescent="0.25">
      <c r="A11" s="25"/>
      <c r="B11" s="115">
        <f>'Rice Land Tract 1 without PLC'!D38</f>
        <v>11.75</v>
      </c>
      <c r="C11" s="115">
        <f>'Rice Land Tract 1 without PLC'!I38</f>
        <v>176.8</v>
      </c>
      <c r="D11" s="115">
        <f>'Rice Land Tract 1 without PLC'!F38</f>
        <v>121.41250000000002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25"/>
    </row>
    <row r="12" spans="1:18" x14ac:dyDescent="0.25">
      <c r="A12" s="25"/>
      <c r="B12" s="115">
        <f>'Rice Land Tract 1 without PLC'!D39</f>
        <v>12</v>
      </c>
      <c r="C12" s="115">
        <f>'Rice Land Tract 1 without PLC'!I39</f>
        <v>189.05</v>
      </c>
      <c r="D12" s="115">
        <f>'Rice Land Tract 1 without PLC'!F39</f>
        <v>132.35000000000002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25"/>
    </row>
    <row r="13" spans="1:18" x14ac:dyDescent="0.25">
      <c r="A13" s="25"/>
      <c r="B13" s="115">
        <f>'Rice Land Tract 1 without PLC'!D40</f>
        <v>12.25</v>
      </c>
      <c r="C13" s="115">
        <f>'Rice Land Tract 1 without PLC'!I40</f>
        <v>201.3</v>
      </c>
      <c r="D13" s="115">
        <f>'Rice Land Tract 1 without PLC'!F40</f>
        <v>143.28750000000002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25"/>
    </row>
    <row r="14" spans="1:18" x14ac:dyDescent="0.25">
      <c r="A14" s="25"/>
      <c r="B14" s="115">
        <f>'Rice Land Tract 1 without PLC'!D41</f>
        <v>12.5</v>
      </c>
      <c r="C14" s="115">
        <f>'Rice Land Tract 1 without PLC'!I41</f>
        <v>213.55</v>
      </c>
      <c r="D14" s="115">
        <f>'Rice Land Tract 1 without PLC'!F41</f>
        <v>154.22500000000002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25"/>
    </row>
    <row r="15" spans="1:18" x14ac:dyDescent="0.25">
      <c r="A15" s="25"/>
      <c r="B15" s="115">
        <f>'Rice Land Tract 1 without PLC'!D42</f>
        <v>12.75</v>
      </c>
      <c r="C15" s="115">
        <f>'Rice Land Tract 1 without PLC'!I42</f>
        <v>225.8</v>
      </c>
      <c r="D15" s="115">
        <f>'Rice Land Tract 1 without PLC'!F42</f>
        <v>165.16250000000002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25"/>
    </row>
    <row r="16" spans="1:18" x14ac:dyDescent="0.25">
      <c r="A16" s="25"/>
      <c r="B16" s="115">
        <f>'Rice Land Tract 1 without PLC'!D43</f>
        <v>13</v>
      </c>
      <c r="C16" s="115">
        <f>'Rice Land Tract 1 without PLC'!I43</f>
        <v>238.05</v>
      </c>
      <c r="D16" s="115">
        <f>'Rice Land Tract 1 without PLC'!F43</f>
        <v>176.10000000000002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25"/>
    </row>
    <row r="17" spans="1:18" x14ac:dyDescent="0.25">
      <c r="A17" s="25"/>
      <c r="B17" s="115">
        <f>'Rice Land Tract 1 without PLC'!D44</f>
        <v>13.25</v>
      </c>
      <c r="C17" s="115">
        <f>'Rice Land Tract 1 without PLC'!I44</f>
        <v>250.3</v>
      </c>
      <c r="D17" s="115">
        <f>'Rice Land Tract 1 without PLC'!F44</f>
        <v>187.03750000000002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25"/>
    </row>
    <row r="18" spans="1:18" x14ac:dyDescent="0.25">
      <c r="A18" s="25"/>
      <c r="B18" s="115">
        <f>'Rice Land Tract 1 without PLC'!D45</f>
        <v>13.5</v>
      </c>
      <c r="C18" s="115">
        <f>'Rice Land Tract 1 without PLC'!I45</f>
        <v>262.55</v>
      </c>
      <c r="D18" s="115">
        <f>'Rice Land Tract 1 without PLC'!F45</f>
        <v>197.97500000000002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25"/>
    </row>
    <row r="19" spans="1:18" x14ac:dyDescent="0.25">
      <c r="A19" s="25"/>
      <c r="B19" s="115">
        <f>'Rice Land Tract 1 without PLC'!D46</f>
        <v>13.75</v>
      </c>
      <c r="C19" s="115">
        <f>'Rice Land Tract 1 without PLC'!I46</f>
        <v>274.8</v>
      </c>
      <c r="D19" s="115">
        <f>'Rice Land Tract 1 without PLC'!F46</f>
        <v>208.91250000000002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25"/>
    </row>
    <row r="20" spans="1:18" x14ac:dyDescent="0.25">
      <c r="A20" s="2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25"/>
    </row>
    <row r="21" spans="1:18" x14ac:dyDescent="0.25">
      <c r="A21" s="2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25"/>
    </row>
    <row r="22" spans="1:18" x14ac:dyDescent="0.25">
      <c r="A22" s="25"/>
      <c r="B22" s="110" t="s">
        <v>77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5"/>
    </row>
    <row r="23" spans="1:1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5" spans="1: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25">
      <c r="A26" s="25"/>
      <c r="B26" s="110"/>
      <c r="C26" s="116" t="s">
        <v>78</v>
      </c>
      <c r="D26" s="118">
        <f>'Rice Land Tract 1 without PLC'!D39</f>
        <v>12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25"/>
    </row>
    <row r="27" spans="1:18" ht="18.75" x14ac:dyDescent="0.3">
      <c r="A27" s="25"/>
      <c r="B27" s="111"/>
      <c r="C27" s="112" t="s">
        <v>72</v>
      </c>
      <c r="D27" s="112" t="s">
        <v>73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25"/>
    </row>
    <row r="28" spans="1:18" ht="30" x14ac:dyDescent="0.25">
      <c r="A28" s="25"/>
      <c r="B28" s="113" t="s">
        <v>79</v>
      </c>
      <c r="C28" s="114" t="s">
        <v>74</v>
      </c>
      <c r="D28" s="114" t="s">
        <v>75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25"/>
    </row>
    <row r="29" spans="1:18" x14ac:dyDescent="0.25">
      <c r="A29" s="25"/>
      <c r="B29" s="119">
        <f>'Rice Land Tract 1 without PLC'!E31</f>
        <v>6000</v>
      </c>
      <c r="C29" s="115">
        <f>'Rice Land Tract 1 without PLC'!E39</f>
        <v>113.45000000000002</v>
      </c>
      <c r="D29" s="115">
        <f>'Rice Land Tract 1 without PLC'!E60</f>
        <v>175.9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25"/>
    </row>
    <row r="30" spans="1:18" x14ac:dyDescent="0.25">
      <c r="A30" s="25"/>
      <c r="B30" s="119">
        <f>'Rice Land Tract 1 without PLC'!F31</f>
        <v>6250</v>
      </c>
      <c r="C30" s="115">
        <f>'Rice Land Tract 1 without PLC'!F39</f>
        <v>132.35000000000002</v>
      </c>
      <c r="D30" s="115">
        <f>'Rice Land Tract 1 without PLC'!F60</f>
        <v>184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25"/>
    </row>
    <row r="31" spans="1:18" x14ac:dyDescent="0.25">
      <c r="A31" s="25"/>
      <c r="B31" s="119">
        <f>'Rice Land Tract 1 without PLC'!G31</f>
        <v>6500</v>
      </c>
      <c r="C31" s="115">
        <f>'Rice Land Tract 1 without PLC'!G39</f>
        <v>151.25000000000003</v>
      </c>
      <c r="D31" s="115">
        <f>'Rice Land Tract 1 without PLC'!G60</f>
        <v>192.1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25"/>
    </row>
    <row r="32" spans="1:18" x14ac:dyDescent="0.25">
      <c r="A32" s="25"/>
      <c r="B32" s="119">
        <f>'Rice Land Tract 1 without PLC'!H31</f>
        <v>6750</v>
      </c>
      <c r="C32" s="115">
        <f>'Rice Land Tract 1 without PLC'!H39</f>
        <v>170.15000000000003</v>
      </c>
      <c r="D32" s="115">
        <f>'Rice Land Tract 1 without PLC'!H60</f>
        <v>200.2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25"/>
    </row>
    <row r="33" spans="1:18" x14ac:dyDescent="0.25">
      <c r="A33" s="25"/>
      <c r="B33" s="119">
        <f>'Rice Land Tract 1 without PLC'!I31</f>
        <v>7000</v>
      </c>
      <c r="C33" s="115">
        <f>'Rice Land Tract 1 without PLC'!I39</f>
        <v>189.05</v>
      </c>
      <c r="D33" s="115">
        <f>'Rice Land Tract 1 without PLC'!I60</f>
        <v>208.3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25"/>
    </row>
    <row r="34" spans="1:18" x14ac:dyDescent="0.25">
      <c r="A34" s="25"/>
      <c r="B34" s="119">
        <f>'Rice Land Tract 1 without PLC'!J31</f>
        <v>7250</v>
      </c>
      <c r="C34" s="115">
        <f>'Rice Land Tract 1 without PLC'!J39</f>
        <v>207.95000000000002</v>
      </c>
      <c r="D34" s="115">
        <f>'Rice Land Tract 1 without PLC'!J60</f>
        <v>216.4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25"/>
    </row>
    <row r="35" spans="1:18" x14ac:dyDescent="0.25">
      <c r="A35" s="25"/>
      <c r="B35" s="119">
        <f>'Rice Land Tract 1 without PLC'!K31</f>
        <v>7500</v>
      </c>
      <c r="C35" s="115">
        <f>'Rice Land Tract 1 without PLC'!K39</f>
        <v>226.85000000000002</v>
      </c>
      <c r="D35" s="115">
        <f>'Rice Land Tract 1 without PLC'!K60</f>
        <v>224.5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5"/>
    </row>
    <row r="36" spans="1:18" x14ac:dyDescent="0.25">
      <c r="A36" s="25"/>
      <c r="B36" s="119">
        <f>'Rice Land Tract 1 without PLC'!L31</f>
        <v>7750</v>
      </c>
      <c r="C36" s="115">
        <f>'Rice Land Tract 1 without PLC'!L39</f>
        <v>245.75000000000003</v>
      </c>
      <c r="D36" s="115">
        <f>'Rice Land Tract 1 without PLC'!L60</f>
        <v>232.6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25"/>
    </row>
    <row r="37" spans="1:18" x14ac:dyDescent="0.25">
      <c r="A37" s="25"/>
      <c r="B37" s="119">
        <f>'Rice Land Tract 1 without PLC'!M31</f>
        <v>8000</v>
      </c>
      <c r="C37" s="115">
        <f>'Rice Land Tract 1 without PLC'!M39</f>
        <v>264.65000000000003</v>
      </c>
      <c r="D37" s="115">
        <f>'Rice Land Tract 1 without PLC'!M60</f>
        <v>240.7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25"/>
    </row>
    <row r="38" spans="1:18" x14ac:dyDescent="0.25">
      <c r="A38" s="25"/>
      <c r="B38" s="120"/>
      <c r="C38" s="121"/>
      <c r="D38" s="12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25"/>
    </row>
    <row r="39" spans="1:18" x14ac:dyDescent="0.25">
      <c r="A39" s="25"/>
      <c r="B39" s="120"/>
      <c r="C39" s="121"/>
      <c r="D39" s="12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25"/>
    </row>
    <row r="40" spans="1:18" x14ac:dyDescent="0.25">
      <c r="A40" s="25"/>
      <c r="B40" s="120"/>
      <c r="C40" s="121"/>
      <c r="D40" s="12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25"/>
    </row>
    <row r="41" spans="1:18" x14ac:dyDescent="0.25">
      <c r="A41" s="25"/>
      <c r="B41" s="120"/>
      <c r="C41" s="121"/>
      <c r="D41" s="12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25"/>
    </row>
    <row r="42" spans="1:18" x14ac:dyDescent="0.25">
      <c r="A42" s="25"/>
      <c r="B42" s="120"/>
      <c r="C42" s="121"/>
      <c r="D42" s="12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25"/>
    </row>
    <row r="43" spans="1:18" x14ac:dyDescent="0.25">
      <c r="A43" s="25"/>
      <c r="B43" s="120"/>
      <c r="C43" s="121"/>
      <c r="D43" s="12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25"/>
    </row>
    <row r="44" spans="1:18" x14ac:dyDescent="0.25">
      <c r="A44" s="2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25"/>
    </row>
    <row r="45" spans="1:18" x14ac:dyDescent="0.25">
      <c r="A45" s="2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25"/>
    </row>
    <row r="46" spans="1:18" x14ac:dyDescent="0.25">
      <c r="A46" s="25"/>
      <c r="B46" s="110" t="s">
        <v>77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25"/>
    </row>
    <row r="47" spans="1:1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Rice Land Tract 1 with PLC</vt:lpstr>
      <vt:lpstr>Returns Graph at Base Yield-1 </vt:lpstr>
      <vt:lpstr>Rice Land Tract 1 without PLC</vt:lpstr>
      <vt:lpstr>Returns Graph at base Yield-2</vt:lpstr>
      <vt:lpstr>'Rice Land Tract 1 with PLC'!Print_Area</vt:lpstr>
      <vt:lpstr>'Rice Land Tract 1 without PLC'!Print_Area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Michael A Deliberto</cp:lastModifiedBy>
  <cp:lastPrinted>2016-11-14T13:38:50Z</cp:lastPrinted>
  <dcterms:created xsi:type="dcterms:W3CDTF">2012-04-19T17:26:15Z</dcterms:created>
  <dcterms:modified xsi:type="dcterms:W3CDTF">2020-11-25T13:06:05Z</dcterms:modified>
</cp:coreProperties>
</file>