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290" yWindow="-75" windowWidth="17085" windowHeight="10860" tabRatio="668" activeTab="4"/>
  </bookViews>
  <sheets>
    <sheet name="Assumptions" sheetId="1" r:id="rId1"/>
    <sheet name="Budget" sheetId="4" r:id="rId2"/>
    <sheet name="Sensitivity" sheetId="5" r:id="rId3"/>
    <sheet name="Feedstuff Comparison" sheetId="9" r:id="rId4"/>
    <sheet name="In-Line Savings Chart" sheetId="7" r:id="rId5"/>
    <sheet name="Individual Savings Chart" sheetId="8" r:id="rId6"/>
  </sheets>
  <definedNames>
    <definedName name="opernote">Assumptions!$F$10</definedName>
    <definedName name="_xlnm.Print_Area" localSheetId="0">Assumptions!$A$1:$F$45</definedName>
    <definedName name="_xlnm.Print_Area" localSheetId="1">Budget!$A$1:$I$33</definedName>
    <definedName name="_xlnm.Print_Area" localSheetId="3">'Feedstuff Comparison'!$A$2:$K$18</definedName>
    <definedName name="_xlnm.Print_Area" localSheetId="2">Sensitivity!$A$1:$G$142</definedName>
  </definedNames>
  <calcPr calcId="145621"/>
</workbook>
</file>

<file path=xl/calcChain.xml><?xml version="1.0" encoding="utf-8"?>
<calcChain xmlns="http://schemas.openxmlformats.org/spreadsheetml/2006/main">
  <c r="B22" i="1" l="1"/>
  <c r="C22" i="4" l="1"/>
  <c r="C23" i="4"/>
  <c r="F7" i="4" l="1"/>
  <c r="F6" i="4"/>
  <c r="E17" i="4"/>
  <c r="B17" i="4"/>
  <c r="B12" i="4" l="1"/>
  <c r="E27" i="1"/>
  <c r="C19" i="1" l="1"/>
  <c r="E30" i="1"/>
  <c r="J8" i="9" l="1"/>
  <c r="G8" i="9" s="1"/>
  <c r="B11" i="9"/>
  <c r="F4" i="9"/>
  <c r="F5" i="9"/>
  <c r="F6" i="9"/>
  <c r="F7" i="9"/>
  <c r="F8" i="9"/>
  <c r="F9" i="9"/>
  <c r="F10" i="9"/>
  <c r="F11" i="9"/>
  <c r="F12" i="9"/>
  <c r="F13" i="9"/>
  <c r="F14" i="9"/>
  <c r="F15" i="9"/>
  <c r="F3" i="9"/>
  <c r="J4" i="9"/>
  <c r="G4" i="9" s="1"/>
  <c r="K4" i="9"/>
  <c r="H4" i="9" s="1"/>
  <c r="J5" i="9"/>
  <c r="G5" i="9" s="1"/>
  <c r="K5" i="9"/>
  <c r="H5" i="9" s="1"/>
  <c r="J6" i="9"/>
  <c r="G6" i="9" s="1"/>
  <c r="K6" i="9"/>
  <c r="H6" i="9" s="1"/>
  <c r="J7" i="9"/>
  <c r="G7" i="9" s="1"/>
  <c r="K7" i="9"/>
  <c r="H7" i="9" s="1"/>
  <c r="K8" i="9"/>
  <c r="H8" i="9" s="1"/>
  <c r="J9" i="9"/>
  <c r="G9" i="9" s="1"/>
  <c r="K9" i="9"/>
  <c r="H9" i="9" s="1"/>
  <c r="J10" i="9"/>
  <c r="G10" i="9" s="1"/>
  <c r="K10" i="9"/>
  <c r="H10" i="9" s="1"/>
  <c r="J11" i="9"/>
  <c r="G11" i="9" s="1"/>
  <c r="K11" i="9"/>
  <c r="H11" i="9" s="1"/>
  <c r="J12" i="9"/>
  <c r="G12" i="9" s="1"/>
  <c r="K12" i="9"/>
  <c r="H12" i="9" s="1"/>
  <c r="J13" i="9"/>
  <c r="G13" i="9" s="1"/>
  <c r="K13" i="9"/>
  <c r="H13" i="9" s="1"/>
  <c r="J14" i="9"/>
  <c r="G14" i="9" s="1"/>
  <c r="K14" i="9"/>
  <c r="H14" i="9" s="1"/>
  <c r="J15" i="9"/>
  <c r="G15" i="9" s="1"/>
  <c r="K15" i="9"/>
  <c r="H15" i="9" s="1"/>
  <c r="K3" i="9"/>
  <c r="H3" i="9" s="1"/>
  <c r="J3" i="9"/>
  <c r="G3" i="9" s="1"/>
  <c r="A33" i="4" l="1"/>
  <c r="A32" i="4"/>
  <c r="A31" i="4"/>
  <c r="B11" i="1" l="1"/>
  <c r="C18" i="1" l="1"/>
  <c r="C22" i="1" l="1"/>
  <c r="C24" i="1" l="1"/>
  <c r="B4" i="5" s="1"/>
  <c r="C23" i="1"/>
  <c r="B15" i="1"/>
  <c r="B21" i="1" s="1"/>
  <c r="B14" i="1"/>
  <c r="G22" i="1"/>
  <c r="G23" i="1"/>
  <c r="G24" i="1"/>
  <c r="G25" i="1"/>
  <c r="G26" i="1"/>
  <c r="G28" i="1"/>
  <c r="G29" i="1"/>
  <c r="E13" i="4" l="1"/>
  <c r="B13" i="4"/>
  <c r="E15" i="4"/>
  <c r="H7" i="4"/>
  <c r="G27" i="1"/>
  <c r="E7" i="4"/>
  <c r="B7" i="4"/>
  <c r="B12" i="1"/>
  <c r="B20" i="1" s="1"/>
  <c r="B108" i="5"/>
  <c r="B96" i="5"/>
  <c r="B84" i="5"/>
  <c r="B72" i="5"/>
  <c r="B11" i="5" l="1"/>
  <c r="C11" i="1" l="1"/>
  <c r="A112" i="5" l="1"/>
  <c r="D23" i="5"/>
  <c r="C24" i="5"/>
  <c r="B24" i="5"/>
  <c r="D18" i="5"/>
  <c r="B12" i="5"/>
  <c r="B10" i="5"/>
  <c r="B9" i="5"/>
  <c r="D43" i="5" s="1"/>
  <c r="B2" i="5"/>
  <c r="C20" i="1"/>
  <c r="G30" i="1"/>
  <c r="B14" i="4" s="1"/>
  <c r="E21" i="1"/>
  <c r="G21" i="1" s="1"/>
  <c r="H5" i="4" s="1"/>
  <c r="E20" i="1"/>
  <c r="G20" i="1" s="1"/>
  <c r="E19" i="1"/>
  <c r="G19" i="1" s="1"/>
  <c r="E18" i="1"/>
  <c r="G18" i="1" s="1"/>
  <c r="E17" i="1"/>
  <c r="G17" i="1" s="1"/>
  <c r="E16" i="1"/>
  <c r="G16" i="1" s="1"/>
  <c r="F12" i="4" l="1"/>
  <c r="E14" i="4"/>
  <c r="F14" i="4" s="1"/>
  <c r="F15" i="4"/>
  <c r="F17" i="4"/>
  <c r="F13" i="4"/>
  <c r="C14" i="4"/>
  <c r="C12" i="4"/>
  <c r="C7" i="4"/>
  <c r="C13" i="4"/>
  <c r="C17" i="4"/>
  <c r="B23" i="1"/>
  <c r="B24" i="1" s="1"/>
  <c r="C21" i="1"/>
  <c r="H6" i="4"/>
  <c r="H9" i="4"/>
  <c r="H8" i="4"/>
  <c r="B3" i="5"/>
  <c r="B9" i="4"/>
  <c r="C9" i="4" s="1"/>
  <c r="B6" i="4"/>
  <c r="C6" i="4" s="1"/>
  <c r="E9" i="4"/>
  <c r="F9" i="4" s="1"/>
  <c r="E6" i="4"/>
  <c r="E5" i="4"/>
  <c r="F5" i="4" s="1"/>
  <c r="B5" i="4"/>
  <c r="B22" i="4" s="1"/>
  <c r="B16" i="4"/>
  <c r="D24" i="5"/>
  <c r="B23" i="5"/>
  <c r="B6" i="5"/>
  <c r="D62" i="5"/>
  <c r="D60" i="5"/>
  <c r="B56" i="5" s="1"/>
  <c r="D69" i="5"/>
  <c r="D67" i="5"/>
  <c r="D65" i="5"/>
  <c r="D63" i="5"/>
  <c r="D61" i="5"/>
  <c r="D70" i="5"/>
  <c r="D68" i="5"/>
  <c r="D66" i="5"/>
  <c r="D64" i="5"/>
  <c r="B39" i="5"/>
  <c r="D52" i="5"/>
  <c r="D50" i="5"/>
  <c r="D48" i="5"/>
  <c r="D46" i="5"/>
  <c r="D44" i="5"/>
  <c r="D53" i="5"/>
  <c r="D51" i="5"/>
  <c r="D49" i="5"/>
  <c r="D47" i="5"/>
  <c r="D45" i="5"/>
  <c r="I8" i="4" l="1"/>
  <c r="I5" i="4"/>
  <c r="C5" i="4"/>
  <c r="H22" i="4"/>
  <c r="H23" i="4"/>
  <c r="I23" i="4" s="1"/>
  <c r="D26" i="5"/>
  <c r="D28" i="5"/>
  <c r="D30" i="5"/>
  <c r="D32" i="5"/>
  <c r="D34" i="5"/>
  <c r="D36" i="5"/>
  <c r="C26" i="5"/>
  <c r="C28" i="5"/>
  <c r="C30" i="5"/>
  <c r="C32" i="5"/>
  <c r="C34" i="5"/>
  <c r="C36" i="5"/>
  <c r="B26" i="5"/>
  <c r="B28" i="5"/>
  <c r="B30" i="5"/>
  <c r="B32" i="5"/>
  <c r="B34" i="5"/>
  <c r="B36" i="5"/>
  <c r="C33" i="5"/>
  <c r="B27" i="5"/>
  <c r="B31" i="5"/>
  <c r="B33" i="5"/>
  <c r="B25" i="5"/>
  <c r="C25" i="5"/>
  <c r="D27" i="5"/>
  <c r="D29" i="5"/>
  <c r="D31" i="5"/>
  <c r="D33" i="5"/>
  <c r="D35" i="5"/>
  <c r="D25" i="5"/>
  <c r="C27" i="5"/>
  <c r="C29" i="5"/>
  <c r="C31" i="5"/>
  <c r="C35" i="5"/>
  <c r="B29" i="5"/>
  <c r="B35" i="5"/>
  <c r="I6" i="4" l="1"/>
  <c r="I22" i="4"/>
  <c r="I24" i="4" s="1"/>
  <c r="I9" i="4"/>
  <c r="I7" i="4"/>
  <c r="H24" i="4"/>
  <c r="H26" i="4" s="1"/>
  <c r="B23" i="4"/>
  <c r="E23" i="4"/>
  <c r="E22" i="4"/>
  <c r="I26" i="4" l="1"/>
  <c r="B5" i="5"/>
  <c r="A97" i="5" s="1"/>
  <c r="F22" i="4"/>
  <c r="E8" i="4"/>
  <c r="B8" i="4"/>
  <c r="B19" i="4" s="1"/>
  <c r="A73" i="5" l="1"/>
  <c r="E24" i="4"/>
  <c r="F23" i="4"/>
  <c r="F24" i="4" s="1"/>
  <c r="B24" i="4"/>
  <c r="C24" i="4"/>
  <c r="C8" i="4"/>
  <c r="F8" i="4"/>
  <c r="C16" i="4" l="1"/>
  <c r="D15" i="4" s="1"/>
  <c r="E16" i="4"/>
  <c r="E19" i="4" s="1"/>
  <c r="F16" i="4"/>
  <c r="F19" i="4" s="1"/>
  <c r="C19" i="4" l="1"/>
  <c r="A30" i="4" s="1"/>
  <c r="C2" i="5"/>
  <c r="F26" i="4"/>
  <c r="E26" i="4"/>
  <c r="B26" i="4"/>
  <c r="G15" i="4"/>
  <c r="D2" i="5" s="1"/>
  <c r="F2" i="5" l="1"/>
  <c r="D4" i="5"/>
  <c r="C3" i="5"/>
  <c r="E3" i="5" s="1"/>
  <c r="E2" i="5"/>
  <c r="C26" i="4"/>
  <c r="F4" i="5"/>
  <c r="D3" i="5"/>
  <c r="F3" i="5" s="1"/>
  <c r="C4" i="5"/>
  <c r="E4" i="5" s="1"/>
  <c r="C5" i="5" l="1"/>
  <c r="E5" i="5" s="1"/>
  <c r="C6" i="5"/>
  <c r="E6" i="5" s="1"/>
  <c r="F75" i="5"/>
  <c r="F87" i="5" s="1"/>
  <c r="D6" i="5"/>
  <c r="F6" i="5" s="1"/>
  <c r="D5" i="5"/>
  <c r="F5" i="5" s="1"/>
  <c r="F126" i="5" l="1"/>
  <c r="A75" i="5"/>
  <c r="E127" i="5"/>
  <c r="E124" i="5"/>
  <c r="F80" i="5"/>
  <c r="F92" i="5" s="1"/>
  <c r="C126" i="5"/>
  <c r="C125" i="5"/>
  <c r="D126" i="5"/>
  <c r="D125" i="5"/>
  <c r="C75" i="5"/>
  <c r="C87" i="5" s="1"/>
  <c r="G81" i="5"/>
  <c r="G93" i="5" s="1"/>
  <c r="C81" i="5"/>
  <c r="C93" i="5" s="1"/>
  <c r="D77" i="5"/>
  <c r="D89" i="5" s="1"/>
  <c r="D124" i="5"/>
  <c r="C124" i="5"/>
  <c r="F130" i="5"/>
  <c r="C128" i="5"/>
  <c r="E128" i="5"/>
  <c r="C127" i="5"/>
  <c r="F127" i="5"/>
  <c r="G77" i="5"/>
  <c r="G89" i="5" s="1"/>
  <c r="E81" i="5"/>
  <c r="E93" i="5" s="1"/>
  <c r="F77" i="5"/>
  <c r="F89" i="5" s="1"/>
  <c r="E78" i="5"/>
  <c r="E90" i="5" s="1"/>
  <c r="D81" i="5"/>
  <c r="D93" i="5" s="1"/>
  <c r="G78" i="5"/>
  <c r="G90" i="5" s="1"/>
  <c r="C130" i="5"/>
  <c r="D128" i="5"/>
  <c r="E129" i="5"/>
  <c r="E125" i="5"/>
  <c r="C129" i="5"/>
  <c r="D127" i="5"/>
  <c r="F128" i="5"/>
  <c r="F124" i="5"/>
  <c r="D130" i="5"/>
  <c r="E130" i="5"/>
  <c r="E126" i="5"/>
  <c r="D129" i="5"/>
  <c r="F129" i="5"/>
  <c r="F125" i="5"/>
  <c r="G79" i="5"/>
  <c r="G91" i="5" s="1"/>
  <c r="G76" i="5"/>
  <c r="G88" i="5" s="1"/>
  <c r="C79" i="5"/>
  <c r="C91" i="5" s="1"/>
  <c r="F81" i="5"/>
  <c r="F93" i="5" s="1"/>
  <c r="F79" i="5"/>
  <c r="F91" i="5" s="1"/>
  <c r="F76" i="5"/>
  <c r="F88" i="5" s="1"/>
  <c r="E80" i="5"/>
  <c r="E92" i="5" s="1"/>
  <c r="E76" i="5"/>
  <c r="E88" i="5" s="1"/>
  <c r="C80" i="5"/>
  <c r="C92" i="5" s="1"/>
  <c r="D79" i="5"/>
  <c r="D91" i="5" s="1"/>
  <c r="D75" i="5"/>
  <c r="D87" i="5" s="1"/>
  <c r="C78" i="5"/>
  <c r="C90" i="5" s="1"/>
  <c r="E79" i="5"/>
  <c r="E91" i="5" s="1"/>
  <c r="E77" i="5"/>
  <c r="E89" i="5" s="1"/>
  <c r="E75" i="5"/>
  <c r="E87" i="5" s="1"/>
  <c r="C77" i="5"/>
  <c r="C89" i="5" s="1"/>
  <c r="C76" i="5"/>
  <c r="C88" i="5" s="1"/>
  <c r="D80" i="5"/>
  <c r="D92" i="5" s="1"/>
  <c r="D78" i="5"/>
  <c r="D90" i="5" s="1"/>
  <c r="D76" i="5"/>
  <c r="D88" i="5" s="1"/>
  <c r="G80" i="5"/>
  <c r="G92" i="5" s="1"/>
  <c r="G75" i="5"/>
  <c r="G87" i="5" s="1"/>
  <c r="F78" i="5"/>
  <c r="F90" i="5" s="1"/>
  <c r="C45" i="5"/>
  <c r="E45" i="5" s="1"/>
  <c r="F45" i="5" s="1"/>
  <c r="C47" i="5"/>
  <c r="E47" i="5" s="1"/>
  <c r="F47" i="5" s="1"/>
  <c r="C51" i="5"/>
  <c r="E51" i="5" s="1"/>
  <c r="F51" i="5" s="1"/>
  <c r="C44" i="5"/>
  <c r="E44" i="5" s="1"/>
  <c r="F44" i="5" s="1"/>
  <c r="C46" i="5"/>
  <c r="E46" i="5" s="1"/>
  <c r="F46" i="5" s="1"/>
  <c r="C48" i="5"/>
  <c r="E48" i="5" s="1"/>
  <c r="F48" i="5" s="1"/>
  <c r="C50" i="5"/>
  <c r="E50" i="5" s="1"/>
  <c r="F50" i="5" s="1"/>
  <c r="C52" i="5"/>
  <c r="E52" i="5" s="1"/>
  <c r="F52" i="5" s="1"/>
  <c r="C43" i="5"/>
  <c r="E43" i="5" s="1"/>
  <c r="F43" i="5" s="1"/>
  <c r="C49" i="5"/>
  <c r="E49" i="5" s="1"/>
  <c r="F49" i="5" s="1"/>
  <c r="C53" i="5"/>
  <c r="B15" i="5"/>
  <c r="C61" i="5"/>
  <c r="E61" i="5" s="1"/>
  <c r="F61" i="5" s="1"/>
  <c r="C63" i="5"/>
  <c r="E63" i="5" s="1"/>
  <c r="F63" i="5" s="1"/>
  <c r="C65" i="5"/>
  <c r="E65" i="5" s="1"/>
  <c r="F65" i="5" s="1"/>
  <c r="C67" i="5"/>
  <c r="E67" i="5" s="1"/>
  <c r="F67" i="5" s="1"/>
  <c r="C69" i="5"/>
  <c r="E69" i="5" s="1"/>
  <c r="F69" i="5" s="1"/>
  <c r="C60" i="5"/>
  <c r="E60" i="5" s="1"/>
  <c r="F60" i="5" s="1"/>
  <c r="C62" i="5"/>
  <c r="E62" i="5" s="1"/>
  <c r="F62" i="5" s="1"/>
  <c r="C64" i="5"/>
  <c r="E64" i="5" s="1"/>
  <c r="F64" i="5" s="1"/>
  <c r="C66" i="5"/>
  <c r="E66" i="5" s="1"/>
  <c r="F66" i="5" s="1"/>
  <c r="C68" i="5"/>
  <c r="E68" i="5" s="1"/>
  <c r="F68" i="5" s="1"/>
  <c r="C70" i="5"/>
  <c r="E70" i="5" s="1"/>
  <c r="F70" i="5" s="1"/>
  <c r="C15" i="5"/>
  <c r="E53" i="5"/>
  <c r="F53" i="5" s="1"/>
  <c r="A99" i="5"/>
  <c r="D137" i="5"/>
  <c r="E138" i="5"/>
  <c r="F139" i="5"/>
  <c r="D141" i="5"/>
  <c r="E142" i="5"/>
  <c r="C140" i="5"/>
  <c r="C136" i="5"/>
  <c r="D99" i="5"/>
  <c r="D111" i="5" s="1"/>
  <c r="D100" i="5"/>
  <c r="D112" i="5" s="1"/>
  <c r="D101" i="5"/>
  <c r="D113" i="5" s="1"/>
  <c r="D102" i="5"/>
  <c r="D114" i="5" s="1"/>
  <c r="D103" i="5"/>
  <c r="D115" i="5" s="1"/>
  <c r="D104" i="5"/>
  <c r="D116" i="5" s="1"/>
  <c r="D105" i="5"/>
  <c r="D117" i="5" s="1"/>
  <c r="C100" i="5"/>
  <c r="C112" i="5" s="1"/>
  <c r="C104" i="5"/>
  <c r="C116" i="5" s="1"/>
  <c r="D136" i="5"/>
  <c r="E137" i="5"/>
  <c r="F138" i="5"/>
  <c r="D140" i="5"/>
  <c r="E141" i="5"/>
  <c r="F142" i="5"/>
  <c r="C139" i="5"/>
  <c r="E99" i="5"/>
  <c r="E111" i="5" s="1"/>
  <c r="E100" i="5"/>
  <c r="E112" i="5" s="1"/>
  <c r="E101" i="5"/>
  <c r="E113" i="5" s="1"/>
  <c r="E102" i="5"/>
  <c r="E114" i="5" s="1"/>
  <c r="E103" i="5"/>
  <c r="E115" i="5" s="1"/>
  <c r="E104" i="5"/>
  <c r="E116" i="5" s="1"/>
  <c r="E105" i="5"/>
  <c r="E117" i="5" s="1"/>
  <c r="C101" i="5"/>
  <c r="C113" i="5" s="1"/>
  <c r="C105" i="5"/>
  <c r="C117" i="5" s="1"/>
  <c r="E136" i="5"/>
  <c r="F137" i="5"/>
  <c r="D139" i="5"/>
  <c r="E140" i="5"/>
  <c r="F141" i="5"/>
  <c r="C142" i="5"/>
  <c r="C138" i="5"/>
  <c r="F99" i="5"/>
  <c r="F111" i="5" s="1"/>
  <c r="F100" i="5"/>
  <c r="F112" i="5" s="1"/>
  <c r="F101" i="5"/>
  <c r="F113" i="5" s="1"/>
  <c r="F102" i="5"/>
  <c r="F114" i="5" s="1"/>
  <c r="F103" i="5"/>
  <c r="F115" i="5" s="1"/>
  <c r="F104" i="5"/>
  <c r="F116" i="5" s="1"/>
  <c r="F105" i="5"/>
  <c r="F117" i="5" s="1"/>
  <c r="C102" i="5"/>
  <c r="C114" i="5" s="1"/>
  <c r="C99" i="5"/>
  <c r="C111" i="5" s="1"/>
  <c r="F136" i="5"/>
  <c r="D138" i="5"/>
  <c r="E139" i="5"/>
  <c r="F140" i="5"/>
  <c r="D142" i="5"/>
  <c r="C141" i="5"/>
  <c r="C137" i="5"/>
  <c r="G99" i="5"/>
  <c r="G111" i="5" s="1"/>
  <c r="G100" i="5"/>
  <c r="G112" i="5" s="1"/>
  <c r="G101" i="5"/>
  <c r="G113" i="5" s="1"/>
  <c r="G102" i="5"/>
  <c r="G114" i="5" s="1"/>
  <c r="G103" i="5"/>
  <c r="G115" i="5" s="1"/>
  <c r="G104" i="5"/>
  <c r="G116" i="5" s="1"/>
  <c r="G105" i="5"/>
  <c r="G117" i="5" s="1"/>
  <c r="C103" i="5"/>
  <c r="C115" i="5" s="1"/>
</calcChain>
</file>

<file path=xl/comments1.xml><?xml version="1.0" encoding="utf-8"?>
<comments xmlns="http://schemas.openxmlformats.org/spreadsheetml/2006/main">
  <authors>
    <author>rpruitt</author>
  </authors>
  <commentList>
    <comment ref="A11" authorId="0">
      <text>
        <r>
          <rPr>
            <sz val="8"/>
            <color indexed="81"/>
            <rFont val="Tahoma"/>
            <family val="2"/>
          </rPr>
          <t>Assumes feed 2% of body weight per day during winter feeding period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27" authorId="0">
      <text>
        <r>
          <rPr>
            <sz val="8"/>
            <color indexed="81"/>
            <rFont val="Tahoma"/>
            <family val="2"/>
          </rPr>
          <t xml:space="preserve">Note this is dependent upon type of wrapper selected above.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0" authorId="0">
      <text>
        <r>
          <rPr>
            <sz val="8"/>
            <color indexed="81"/>
            <rFont val="Tahoma"/>
            <family val="2"/>
          </rPr>
          <t>Note this is dependent upon type of wrapper selected above.</t>
        </r>
      </text>
    </comment>
  </commentList>
</comments>
</file>

<file path=xl/comments2.xml><?xml version="1.0" encoding="utf-8"?>
<comments xmlns="http://schemas.openxmlformats.org/spreadsheetml/2006/main">
  <authors>
    <author>rpruitt</author>
  </authors>
  <commentList>
    <comment ref="A1" authorId="0">
      <text>
        <r>
          <rPr>
            <sz val="8"/>
            <color indexed="81"/>
            <rFont val="Tahoma"/>
            <family val="2"/>
          </rPr>
          <t>This assumes cost of operating the equipment specificed only.</t>
        </r>
      </text>
    </comment>
  </commentList>
</comments>
</file>

<file path=xl/comments3.xml><?xml version="1.0" encoding="utf-8"?>
<comments xmlns="http://schemas.openxmlformats.org/spreadsheetml/2006/main">
  <authors>
    <author>rpruitt</author>
  </authors>
  <commentList>
    <comment ref="E1" authorId="0">
      <text>
        <r>
          <rPr>
            <sz val="8"/>
            <color indexed="81"/>
            <rFont val="Tahoma"/>
            <family val="2"/>
          </rPr>
          <t>Negative values indicate cost increaes to the operation, positive values indicate cost savings to the operation.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F1" authorId="0">
      <text>
        <r>
          <rPr>
            <sz val="8"/>
            <color indexed="81"/>
            <rFont val="Tahoma"/>
            <family val="2"/>
          </rPr>
          <t>Negative values indicate cost increaes to the operation, positive values indicate cost savings to the operation.</t>
        </r>
      </text>
    </comment>
    <comment ref="C4" authorId="0">
      <text>
        <r>
          <rPr>
            <sz val="8"/>
            <color indexed="81"/>
            <rFont val="Tahoma"/>
            <family val="2"/>
          </rPr>
          <t>Use this value to compare against other feedstuffs.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" authorId="0">
      <text>
        <r>
          <rPr>
            <sz val="8"/>
            <color indexed="81"/>
            <rFont val="Tahoma"/>
            <family val="2"/>
          </rPr>
          <t xml:space="preserve">Use this value to compare against other feedstuffs.
</t>
        </r>
      </text>
    </comment>
  </commentList>
</comments>
</file>

<file path=xl/sharedStrings.xml><?xml version="1.0" encoding="utf-8"?>
<sst xmlns="http://schemas.openxmlformats.org/spreadsheetml/2006/main" count="275" uniqueCount="185">
  <si>
    <t>Number of cows:</t>
  </si>
  <si>
    <t>Average weight (lbs):</t>
  </si>
  <si>
    <t>Days in Winter Feeding Period:</t>
  </si>
  <si>
    <t>Number of Cuttings:</t>
  </si>
  <si>
    <t>Production Assumptions</t>
  </si>
  <si>
    <t>Equipment Assumptions</t>
  </si>
  <si>
    <t>Tractor (20-39hp)Cab -  MFWD 30</t>
  </si>
  <si>
    <t>Tractor (20-39hp)Rollbar -  MFWD 30</t>
  </si>
  <si>
    <t>Select Tractor Size:</t>
  </si>
  <si>
    <t>Tractor (40-59hp)Cab -  2WD 50</t>
  </si>
  <si>
    <t>Tractor (40-59hp)Cab -  MFWD 50</t>
  </si>
  <si>
    <t>Tractor (60-89hp)Cab -  2WD 75</t>
  </si>
  <si>
    <t>Tractor (60-89hp)Cab -  MFWD 75</t>
  </si>
  <si>
    <t>Tractor (90-119hp)Cab -  2WD 105</t>
  </si>
  <si>
    <t>Tractor (90-119hp)Cab -  MFWD 105</t>
  </si>
  <si>
    <t>Tractor (120-139hp)Cab -  2WD 130</t>
  </si>
  <si>
    <t>Tractor (120-139hp)Cab -  MFWD 130</t>
  </si>
  <si>
    <t>Tractor (140-159hp)Cab -  2WD 150</t>
  </si>
  <si>
    <t>Tractor (140-159hp)Cab -  MFWD 150</t>
  </si>
  <si>
    <t>Tractor (160-179hp)Cab -  2WD 170</t>
  </si>
  <si>
    <t>Tractor (160-179hp)Cab -  MFWD 170</t>
  </si>
  <si>
    <t>Tractor (180-199hp)Cab -  MFWD 190</t>
  </si>
  <si>
    <t>Tractor (200-249hp)Cab -  MFWD 225</t>
  </si>
  <si>
    <t>Tractor (200-249hp)Cab -  Track 225</t>
  </si>
  <si>
    <t>Tractor (250-349hp)Cab -  4WD 300</t>
  </si>
  <si>
    <t>Tractor (250-349hp)Cab -  MFWD 300</t>
  </si>
  <si>
    <t>Tractor (250-349hp)Cab -  Track 300</t>
  </si>
  <si>
    <t>Tractor (350-449hp)Cab -  4WD 400</t>
  </si>
  <si>
    <t>Tractor (350-449hp)Cab -  Track 400</t>
  </si>
  <si>
    <t>Tractor (450-550hp)Cab -  4WD 500</t>
  </si>
  <si>
    <t>Tractor (450-550hp)Cab -  Track 500</t>
  </si>
  <si>
    <t>Tractor (40-59hp)Rollbar -  2WD 50</t>
  </si>
  <si>
    <t>Tractor (40-59hp)Rollbar -  MFWD 50</t>
  </si>
  <si>
    <t>Tractor (60-89hp)Rollbar -  2WD 75</t>
  </si>
  <si>
    <t>Tractor (60-89hp)Rollbar -  MFWD 75</t>
  </si>
  <si>
    <t>Tractor (90-119hp)Rollbar -  2WD 105</t>
  </si>
  <si>
    <t>Tractor (90-119hp)Rollbar -  MFWD 105</t>
  </si>
  <si>
    <t>N/A</t>
  </si>
  <si>
    <t>Hours Per Acre</t>
  </si>
  <si>
    <t>Acres Per Hour</t>
  </si>
  <si>
    <t>Fuel Use per Hour</t>
  </si>
  <si>
    <t>Purchase Price</t>
  </si>
  <si>
    <t>Salvage Rate</t>
  </si>
  <si>
    <t>R&amp;M Rate</t>
  </si>
  <si>
    <t>Useful Life</t>
  </si>
  <si>
    <t>Annual Use</t>
  </si>
  <si>
    <t>Your Assumption:</t>
  </si>
  <si>
    <t>Base Assumption:</t>
  </si>
  <si>
    <t>Diesel Fuel Cost ($/gallon):</t>
  </si>
  <si>
    <t>Gasoline Cost ($/gallon):</t>
  </si>
  <si>
    <t>Interest Rate:</t>
  </si>
  <si>
    <t>Individual Wrapper</t>
  </si>
  <si>
    <t>Labor Cost ($/hour):</t>
  </si>
  <si>
    <t>Hours Annually Needed to Wrap Forage:</t>
  </si>
  <si>
    <t>Repair and Maintenace Rate for Wrapper (%):</t>
  </si>
  <si>
    <t>Salvage Value for Wrapper (%):</t>
  </si>
  <si>
    <t>Tractor Purchase Price:</t>
  </si>
  <si>
    <t>Tractor Annual Use (Hrs):</t>
  </si>
  <si>
    <t>Tractor Useful Life (Yrs):</t>
  </si>
  <si>
    <t>Tractor Salvage Value (%):</t>
  </si>
  <si>
    <t>Tractor Repair and Maintenance (%):</t>
  </si>
  <si>
    <t>Tractor Fuel Use (Gallons):</t>
  </si>
  <si>
    <t>Bale Wrapper Annual Use (Hrs):</t>
  </si>
  <si>
    <t>Bale Wrapper Useful Life (Yrs):</t>
  </si>
  <si>
    <t>Bales Wrapped per Hour:</t>
  </si>
  <si>
    <t>Tractor Costs</t>
  </si>
  <si>
    <t xml:space="preserve">  - Diesel Fuel</t>
  </si>
  <si>
    <t xml:space="preserve">  - Labor</t>
  </si>
  <si>
    <t xml:space="preserve">  - Repair and Maintenance</t>
  </si>
  <si>
    <t>Per Hour</t>
  </si>
  <si>
    <t>Per Bale</t>
  </si>
  <si>
    <t xml:space="preserve">  - Total Direct Tractor Costs</t>
  </si>
  <si>
    <t>Bale Wrapper Costs</t>
  </si>
  <si>
    <t xml:space="preserve">  - Gasoline</t>
  </si>
  <si>
    <t xml:space="preserve">  - Plastic Cost</t>
  </si>
  <si>
    <t xml:space="preserve">  - Additional Labor</t>
  </si>
  <si>
    <t xml:space="preserve">  - Total Direct Bale Wrapper Costs</t>
  </si>
  <si>
    <t xml:space="preserve">  - Total Indirect Tractor Costs</t>
  </si>
  <si>
    <t xml:space="preserve">  - Total Indirect Bale Wrapper Costs</t>
  </si>
  <si>
    <t>Financing Period (Years):</t>
  </si>
  <si>
    <t>Round Baler Assumptions</t>
  </si>
  <si>
    <t>Conventional Round Baler Purchase Price:</t>
  </si>
  <si>
    <t>High Moisture Round Baler Purchase Price:</t>
  </si>
  <si>
    <t>Hay Loss Assumptions</t>
  </si>
  <si>
    <t>Conventional Round Baler System:</t>
  </si>
  <si>
    <t>Plastic Bale Wrapping System:</t>
  </si>
  <si>
    <t xml:space="preserve">In-Line Bale Wrapper Purchase Price: </t>
  </si>
  <si>
    <t>Direct Cost Per Acre for Hay Production:</t>
  </si>
  <si>
    <t>Estimated Costs to Operate Bale Wrapping Sytems:</t>
  </si>
  <si>
    <t>Type of Bale Wrapping System:</t>
  </si>
  <si>
    <t>Individual Bale Wrapper Purchase Price:</t>
  </si>
  <si>
    <t>In-Line Wrapper</t>
  </si>
  <si>
    <t>Tractor &amp; Round Baler Costs</t>
  </si>
  <si>
    <t xml:space="preserve">  - Direct Costs</t>
  </si>
  <si>
    <t xml:space="preserve">  - Indirect Costs</t>
  </si>
  <si>
    <t xml:space="preserve">  - Total Costs</t>
  </si>
  <si>
    <t>Direct Production Cost per Acre:</t>
  </si>
  <si>
    <t>Cost Savings (In-Line Wrapper)</t>
  </si>
  <si>
    <t>Cost Savings (Individual Wrapper)</t>
  </si>
  <si>
    <t>Annual Payment for High Moisture Baler:</t>
  </si>
  <si>
    <t>Annual Payment for Convetional Baler:</t>
  </si>
  <si>
    <t>Annual Payment for In-Line Wrapper:</t>
  </si>
  <si>
    <t>Annual Payment for Individual Wrapper:</t>
  </si>
  <si>
    <t>Number of Cow</t>
  </si>
  <si>
    <t>Total Savings</t>
  </si>
  <si>
    <t>Annual Ownership Cost</t>
  </si>
  <si>
    <t>Cost Increase per Cow</t>
  </si>
  <si>
    <t>Increase in Operation Costs</t>
  </si>
  <si>
    <t xml:space="preserve">Number of Cows Needed to Have </t>
  </si>
  <si>
    <t>Cost Savings to Pay for Wrapper:</t>
  </si>
  <si>
    <t xml:space="preserve"> </t>
  </si>
  <si>
    <t>In-Line Wrapper Annual Ownership Costs:</t>
  </si>
  <si>
    <t>Hay Loss Percent</t>
  </si>
  <si>
    <t>Baleage Loss Percent</t>
  </si>
  <si>
    <t>Number of Cows:</t>
  </si>
  <si>
    <t>Individual Wrapper Annual Ownership Costs:</t>
  </si>
  <si>
    <t>Feeding Cost/Day:</t>
  </si>
  <si>
    <t>Baleage</t>
  </si>
  <si>
    <t>Hay</t>
  </si>
  <si>
    <t>Herd Size</t>
  </si>
  <si>
    <t>Feeding Days Required</t>
  </si>
  <si>
    <t>Breakeven $/day</t>
  </si>
  <si>
    <t>feeding cost</t>
  </si>
  <si>
    <t>Winter Feeding Period (Days):</t>
  </si>
  <si>
    <t>Combined Storage and Feeding Loss:</t>
  </si>
  <si>
    <t>Annual Feeding Days Required</t>
  </si>
  <si>
    <t xml:space="preserve">Green shaded cells may be altered by the user to tailor the spreadsheet to fit their operation.  </t>
  </si>
  <si>
    <t xml:space="preserve">There are are few cells in the "Sensitivity" worksheet that also may be altered. </t>
  </si>
  <si>
    <t>Questions or comments?  Contact us:</t>
  </si>
  <si>
    <t>rpruitt@agcenter.lsu.edu</t>
  </si>
  <si>
    <t>clacy@uga.edu</t>
  </si>
  <si>
    <t>This decision tool helps users to determine the costs associated with owning a bale wrapping machine to produce baleage.</t>
  </si>
  <si>
    <t>Spreadsheet developed by J. Ross Pruitt, Assistant Professor and Extension Economist with the LSU AgCenter and</t>
  </si>
  <si>
    <t>R. Curt Lacy, Extension Economist - Livestock with the University of Georgia.</t>
  </si>
  <si>
    <t>Percent Hay Loss</t>
  </si>
  <si>
    <t>Total DM Lbs Needed for Winter Feeding Period:</t>
  </si>
  <si>
    <t>Total DM Tons Needed for Winter Feeding Period:</t>
  </si>
  <si>
    <t>Acres Required for Baleage (DM basis):</t>
  </si>
  <si>
    <t>Hay Yield per Acre per Cutting (tons, DM basis):</t>
  </si>
  <si>
    <t>Direct Production Cost per Ton (DM Basis):</t>
  </si>
  <si>
    <t>Total Savings from Purchasing In-Line Wrapper at Various Hay Storage Losses</t>
  </si>
  <si>
    <t>Baleage Loss of Five Percent</t>
  </si>
  <si>
    <t>Total Savings from Purchasing Individual Wrapper at Various Hay Storage Losses</t>
  </si>
  <si>
    <t>Number of Hay Bales Needed:</t>
  </si>
  <si>
    <t>Number of Baleage Bales Needed:</t>
  </si>
  <si>
    <t>Percent Dry Matter of Hay at Baling:</t>
  </si>
  <si>
    <t>Percent Dry Matter of Baleage at Baling:</t>
  </si>
  <si>
    <t>Base Hay Scenario</t>
  </si>
  <si>
    <t>Baleage Bale Weight (Pounds, As Fed Basis):</t>
  </si>
  <si>
    <t>Bale Weight (Lbs, As Fed Basis):</t>
  </si>
  <si>
    <t>Direct Production Cost per Cow (no hay loss, AF basis):</t>
  </si>
  <si>
    <t>Direct Production Cost per Cow (with hay loss, AF basis):</t>
  </si>
  <si>
    <t>Conventional Baler</t>
  </si>
  <si>
    <t>Plastic Cost ($/roll):</t>
  </si>
  <si>
    <t>Total Tractor and Wrapping Costs</t>
  </si>
  <si>
    <t>The difference in cost between conventional baling and baling and wrapping is due to the cost of operating additional equipment</t>
  </si>
  <si>
    <t>Ingredient</t>
  </si>
  <si>
    <t>$/ton</t>
  </si>
  <si>
    <t>%DM</t>
  </si>
  <si>
    <t>$/Ton DM</t>
  </si>
  <si>
    <t>% Crude Protein</t>
  </si>
  <si>
    <t>% Total Digestible Nutrient</t>
  </si>
  <si>
    <t>$/Lb Crude Protein</t>
  </si>
  <si>
    <t>$/Lb Total Digestible Nutrient</t>
  </si>
  <si>
    <t>Source: UGA Basic Balancer</t>
  </si>
  <si>
    <t>Available at: http://www.caes.uga.edu/Publications/pubDetail.cfm?pk_ID=7887</t>
  </si>
  <si>
    <t>Bermudagrass Hay, Good Quality</t>
  </si>
  <si>
    <t>Ryegrass Hay, Good Quality</t>
  </si>
  <si>
    <t>Bermudagrass Hay, Average Quality</t>
  </si>
  <si>
    <t>Ryegrass Hay, Average Quality</t>
  </si>
  <si>
    <t>Bermudagrass Hay, Poor Quality</t>
  </si>
  <si>
    <t>Ryegrass Hay, Poor Quality</t>
  </si>
  <si>
    <t>Bermudgagrass Baleage</t>
  </si>
  <si>
    <t>Ryegrass Baleage</t>
  </si>
  <si>
    <t>Corn</t>
  </si>
  <si>
    <t>Whole Cottsonseed</t>
  </si>
  <si>
    <t>Dried Distillers Grain</t>
  </si>
  <si>
    <t>Soybean Meal</t>
  </si>
  <si>
    <t>Cottonseed Meal</t>
  </si>
  <si>
    <t>Total Baling and Wrapping  Costs (DM Basis)</t>
  </si>
  <si>
    <t xml:space="preserve">#CP in 1 </t>
  </si>
  <si>
    <t>ton</t>
  </si>
  <si>
    <t>#TDN in 1</t>
  </si>
  <si>
    <t>Direct Production Cost per Ton (AF basis):</t>
  </si>
  <si>
    <t>and different levels of productivity per hour. Conventional baling is $4.63 per bale more expensive due to harvesting fewer bales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</si>
</sst>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&quot;$&quot;#,##0"/>
    <numFmt numFmtId="167" formatCode="0.0"/>
    <numFmt numFmtId="168" formatCode="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2" borderId="0" xfId="0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44" fontId="0" fillId="2" borderId="0" xfId="2" applyFont="1" applyFill="1" applyBorder="1" applyProtection="1">
      <protection locked="0"/>
    </xf>
    <xf numFmtId="10" fontId="0" fillId="2" borderId="0" xfId="3" applyNumberFormat="1" applyFont="1" applyFill="1" applyBorder="1" applyProtection="1">
      <protection locked="0"/>
    </xf>
    <xf numFmtId="44" fontId="0" fillId="2" borderId="0" xfId="2" applyFont="1" applyFill="1" applyProtection="1">
      <protection locked="0"/>
    </xf>
    <xf numFmtId="43" fontId="0" fillId="2" borderId="0" xfId="1" applyFont="1" applyFill="1" applyProtection="1">
      <protection locked="0"/>
    </xf>
    <xf numFmtId="10" fontId="0" fillId="2" borderId="0" xfId="3" applyNumberFormat="1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0" fillId="3" borderId="0" xfId="0" applyFill="1" applyBorder="1" applyProtection="1"/>
    <xf numFmtId="0" fontId="3" fillId="3" borderId="0" xfId="0" applyFont="1" applyFill="1" applyProtection="1"/>
    <xf numFmtId="44" fontId="0" fillId="3" borderId="0" xfId="0" applyNumberFormat="1" applyFill="1" applyProtection="1"/>
    <xf numFmtId="0" fontId="4" fillId="3" borderId="0" xfId="0" applyFont="1" applyFill="1" applyBorder="1" applyProtection="1"/>
    <xf numFmtId="1" fontId="4" fillId="3" borderId="0" xfId="0" applyNumberFormat="1" applyFont="1" applyFill="1" applyBorder="1" applyAlignment="1" applyProtection="1">
      <alignment horizontal="right"/>
    </xf>
    <xf numFmtId="165" fontId="4" fillId="3" borderId="0" xfId="0" applyNumberFormat="1" applyFont="1" applyFill="1" applyBorder="1" applyProtection="1"/>
    <xf numFmtId="166" fontId="4" fillId="3" borderId="0" xfId="0" applyNumberFormat="1" applyFont="1" applyFill="1" applyBorder="1" applyProtection="1"/>
    <xf numFmtId="10" fontId="4" fillId="3" borderId="0" xfId="0" applyNumberFormat="1" applyFont="1" applyFill="1" applyBorder="1" applyProtection="1"/>
    <xf numFmtId="1" fontId="4" fillId="3" borderId="0" xfId="0" applyNumberFormat="1" applyFont="1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64" fontId="0" fillId="3" borderId="0" xfId="1" applyNumberFormat="1" applyFont="1" applyFill="1" applyBorder="1" applyProtection="1"/>
    <xf numFmtId="43" fontId="0" fillId="3" borderId="0" xfId="4" applyFont="1" applyFill="1" applyBorder="1" applyProtection="1"/>
    <xf numFmtId="44" fontId="0" fillId="3" borderId="0" xfId="5" applyFont="1" applyFill="1" applyBorder="1" applyProtection="1"/>
    <xf numFmtId="10" fontId="0" fillId="3" borderId="0" xfId="6" applyNumberFormat="1" applyFont="1" applyFill="1" applyBorder="1" applyProtection="1"/>
    <xf numFmtId="44" fontId="0" fillId="3" borderId="0" xfId="5" applyFont="1" applyFill="1" applyProtection="1"/>
    <xf numFmtId="10" fontId="0" fillId="3" borderId="0" xfId="6" applyNumberFormat="1" applyFont="1" applyFill="1" applyProtection="1"/>
    <xf numFmtId="2" fontId="0" fillId="3" borderId="0" xfId="0" applyNumberFormat="1" applyFill="1" applyProtection="1"/>
    <xf numFmtId="0" fontId="0" fillId="3" borderId="0" xfId="0" applyFill="1"/>
    <xf numFmtId="44" fontId="0" fillId="3" borderId="0" xfId="2" applyFont="1" applyFill="1"/>
    <xf numFmtId="44" fontId="3" fillId="3" borderId="0" xfId="0" applyNumberFormat="1" applyFont="1" applyFill="1"/>
    <xf numFmtId="44" fontId="0" fillId="3" borderId="0" xfId="0" applyNumberFormat="1" applyFill="1"/>
    <xf numFmtId="44" fontId="0" fillId="3" borderId="0" xfId="2" applyFont="1" applyFill="1" applyBorder="1" applyAlignment="1"/>
    <xf numFmtId="0" fontId="0" fillId="3" borderId="1" xfId="0" applyFill="1" applyBorder="1"/>
    <xf numFmtId="8" fontId="0" fillId="3" borderId="0" xfId="0" applyNumberFormat="1" applyFill="1"/>
    <xf numFmtId="9" fontId="0" fillId="3" borderId="0" xfId="0" applyNumberFormat="1" applyFill="1"/>
    <xf numFmtId="0" fontId="0" fillId="3" borderId="0" xfId="0" applyFill="1" applyAlignment="1">
      <alignment horizontal="center"/>
    </xf>
    <xf numFmtId="1" fontId="0" fillId="3" borderId="0" xfId="0" applyNumberFormat="1" applyFill="1"/>
    <xf numFmtId="0" fontId="0" fillId="3" borderId="0" xfId="0" applyFill="1" applyBorder="1" applyAlignment="1" applyProtection="1">
      <alignment horizontal="center"/>
    </xf>
    <xf numFmtId="164" fontId="0" fillId="2" borderId="0" xfId="1" applyNumberFormat="1" applyFont="1" applyFill="1" applyProtection="1">
      <protection locked="0"/>
    </xf>
    <xf numFmtId="0" fontId="7" fillId="3" borderId="0" xfId="0" applyFont="1" applyFill="1" applyProtection="1"/>
    <xf numFmtId="0" fontId="8" fillId="3" borderId="0" xfId="7" applyFill="1" applyAlignment="1" applyProtection="1"/>
    <xf numFmtId="44" fontId="0" fillId="3" borderId="0" xfId="0" quotePrefix="1" applyNumberFormat="1" applyFill="1"/>
    <xf numFmtId="44" fontId="0" fillId="3" borderId="0" xfId="2" quotePrefix="1" applyFont="1" applyFill="1"/>
    <xf numFmtId="43" fontId="0" fillId="3" borderId="0" xfId="0" applyNumberFormat="1" applyFill="1" applyBorder="1" applyProtection="1"/>
    <xf numFmtId="2" fontId="0" fillId="3" borderId="0" xfId="0" applyNumberFormat="1" applyFill="1" applyBorder="1" applyProtection="1"/>
    <xf numFmtId="44" fontId="9" fillId="3" borderId="0" xfId="0" applyNumberFormat="1" applyFont="1" applyFill="1"/>
    <xf numFmtId="0" fontId="10" fillId="3" borderId="0" xfId="0" applyFont="1" applyFill="1" applyProtection="1"/>
    <xf numFmtId="167" fontId="4" fillId="3" borderId="0" xfId="0" applyNumberFormat="1" applyFont="1" applyFill="1" applyBorder="1" applyAlignment="1" applyProtection="1">
      <alignment horizontal="right"/>
    </xf>
    <xf numFmtId="167" fontId="4" fillId="3" borderId="0" xfId="0" applyNumberFormat="1" applyFont="1" applyFill="1" applyBorder="1" applyProtection="1"/>
    <xf numFmtId="165" fontId="4" fillId="3" borderId="0" xfId="0" applyNumberFormat="1" applyFont="1" applyFill="1" applyBorder="1" applyAlignment="1" applyProtection="1">
      <alignment horizontal="right"/>
    </xf>
    <xf numFmtId="43" fontId="0" fillId="3" borderId="0" xfId="1" applyFont="1" applyFill="1" applyBorder="1" applyProtection="1">
      <protection locked="0"/>
    </xf>
    <xf numFmtId="43" fontId="0" fillId="2" borderId="0" xfId="0" applyNumberFormat="1" applyFill="1" applyBorder="1" applyProtection="1">
      <protection locked="0"/>
    </xf>
    <xf numFmtId="1" fontId="0" fillId="3" borderId="0" xfId="0" applyNumberFormat="1" applyFill="1" applyProtection="1"/>
    <xf numFmtId="164" fontId="0" fillId="2" borderId="0" xfId="1" applyNumberFormat="1" applyFont="1" applyFill="1" applyBorder="1" applyProtection="1">
      <protection locked="0"/>
    </xf>
    <xf numFmtId="43" fontId="0" fillId="3" borderId="0" xfId="0" applyNumberFormat="1" applyFill="1" applyProtection="1"/>
    <xf numFmtId="2" fontId="0" fillId="2" borderId="0" xfId="0" applyNumberFormat="1" applyFont="1" applyFill="1" applyBorder="1" applyProtection="1">
      <protection locked="0"/>
    </xf>
    <xf numFmtId="0" fontId="9" fillId="3" borderId="0" xfId="0" applyFont="1" applyFill="1"/>
    <xf numFmtId="44" fontId="9" fillId="3" borderId="0" xfId="2" applyFont="1" applyFill="1"/>
    <xf numFmtId="0" fontId="7" fillId="3" borderId="1" xfId="0" applyFont="1" applyFill="1" applyBorder="1"/>
    <xf numFmtId="0" fontId="7" fillId="3" borderId="0" xfId="0" applyFont="1" applyFill="1"/>
    <xf numFmtId="0" fontId="9" fillId="2" borderId="0" xfId="0" applyFont="1" applyFill="1" applyProtection="1">
      <protection locked="0"/>
    </xf>
    <xf numFmtId="44" fontId="9" fillId="2" borderId="0" xfId="2" applyFont="1" applyFill="1" applyProtection="1">
      <protection locked="0"/>
    </xf>
    <xf numFmtId="9" fontId="0" fillId="2" borderId="0" xfId="3" applyFont="1" applyFill="1" applyProtection="1">
      <protection locked="0"/>
    </xf>
    <xf numFmtId="9" fontId="0" fillId="2" borderId="0" xfId="3" applyNumberFormat="1" applyFont="1" applyFill="1" applyProtection="1">
      <protection locked="0"/>
    </xf>
    <xf numFmtId="44" fontId="9" fillId="2" borderId="0" xfId="2" applyFont="1" applyFill="1" applyBorder="1" applyProtection="1">
      <protection locked="0"/>
    </xf>
    <xf numFmtId="43" fontId="10" fillId="3" borderId="0" xfId="0" applyNumberFormat="1" applyFont="1" applyFill="1" applyProtection="1"/>
    <xf numFmtId="168" fontId="9" fillId="3" borderId="0" xfId="0" applyNumberFormat="1" applyFont="1" applyFill="1"/>
    <xf numFmtId="0" fontId="0" fillId="3" borderId="0" xfId="0" applyFill="1"/>
    <xf numFmtId="0" fontId="9" fillId="3" borderId="0" xfId="0" applyFont="1" applyFill="1"/>
    <xf numFmtId="0" fontId="2" fillId="3" borderId="1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43" fontId="3" fillId="3" borderId="0" xfId="0" applyNumberFormat="1" applyFont="1" applyFill="1" applyProtection="1"/>
    <xf numFmtId="2" fontId="3" fillId="3" borderId="0" xfId="0" applyNumberFormat="1" applyFont="1" applyFill="1" applyBorder="1" applyProtection="1"/>
    <xf numFmtId="165" fontId="3" fillId="3" borderId="0" xfId="0" applyNumberFormat="1" applyFont="1" applyFill="1" applyProtection="1"/>
    <xf numFmtId="2" fontId="3" fillId="3" borderId="0" xfId="0" applyNumberFormat="1" applyFont="1" applyFill="1" applyProtection="1"/>
    <xf numFmtId="164" fontId="3" fillId="3" borderId="0" xfId="0" applyNumberFormat="1" applyFont="1" applyFill="1" applyProtection="1"/>
    <xf numFmtId="1" fontId="0" fillId="2" borderId="0" xfId="2" applyNumberFormat="1" applyFont="1" applyFill="1" applyProtection="1">
      <protection locked="0"/>
    </xf>
  </cellXfs>
  <cellStyles count="8">
    <cellStyle name="Comma" xfId="1" builtinId="3"/>
    <cellStyle name="Comma 2" xfId="4"/>
    <cellStyle name="Currency" xfId="2" builtinId="4"/>
    <cellStyle name="Currency 2" xfId="5"/>
    <cellStyle name="Hyperlink" xfId="7" builtinId="8"/>
    <cellStyle name="Normal" xfId="0" builtinId="0"/>
    <cellStyle name="Percent" xfId="3" builtin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Savings from In-Line Bale Wrapper Purchase at Various Hay Storage Losses and Baleage Losses of Five Percent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25 Cows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Sensitivity!$C$124:$C$130</c:f>
              <c:numCache>
                <c:formatCode>_("$"* #,##0.00_);_("$"* \(#,##0.00\);_("$"* "-"??_);_(@_)</c:formatCode>
                <c:ptCount val="7"/>
                <c:pt idx="0">
                  <c:v>-8439.054581444092</c:v>
                </c:pt>
                <c:pt idx="1">
                  <c:v>-8176.554581444092</c:v>
                </c:pt>
                <c:pt idx="2">
                  <c:v>-7914.0545814440939</c:v>
                </c:pt>
                <c:pt idx="3">
                  <c:v>-7651.5545814440929</c:v>
                </c:pt>
                <c:pt idx="4">
                  <c:v>-7389.0545814440929</c:v>
                </c:pt>
                <c:pt idx="5">
                  <c:v>-6969.054581444092</c:v>
                </c:pt>
                <c:pt idx="6">
                  <c:v>-6076.5545814440929</c:v>
                </c:pt>
              </c:numCache>
            </c:numRef>
          </c:val>
        </c:ser>
        <c:ser>
          <c:idx val="1"/>
          <c:order val="1"/>
          <c:tx>
            <c:v>100 Cows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Sensitivity!$D$124:$D$130</c:f>
              <c:numCache>
                <c:formatCode>_("$"* #,##0.00_);_("$"* \(#,##0.00\);_("$"* "-"??_);_(@_)</c:formatCode>
                <c:ptCount val="7"/>
                <c:pt idx="0">
                  <c:v>-9336.0200612878434</c:v>
                </c:pt>
                <c:pt idx="1">
                  <c:v>-8286.0200612878398</c:v>
                </c:pt>
                <c:pt idx="2">
                  <c:v>-7236.0200612878461</c:v>
                </c:pt>
                <c:pt idx="3">
                  <c:v>-6186.0200612878434</c:v>
                </c:pt>
                <c:pt idx="4">
                  <c:v>-5136.0200612878434</c:v>
                </c:pt>
                <c:pt idx="5">
                  <c:v>-3456.0200612878416</c:v>
                </c:pt>
                <c:pt idx="6">
                  <c:v>113.97993871215658</c:v>
                </c:pt>
              </c:numCache>
            </c:numRef>
          </c:val>
        </c:ser>
        <c:ser>
          <c:idx val="2"/>
          <c:order val="2"/>
          <c:tx>
            <c:v>200 Cows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Sensitivity!$E$124:$E$130</c:f>
              <c:numCache>
                <c:formatCode>_("$"* #,##0.00_);_("$"* \(#,##0.00\);_("$"* "-"??_);_(@_)</c:formatCode>
                <c:ptCount val="7"/>
                <c:pt idx="0">
                  <c:v>-10531.974034412844</c:v>
                </c:pt>
                <c:pt idx="1">
                  <c:v>-8431.9740344128386</c:v>
                </c:pt>
                <c:pt idx="2">
                  <c:v>-6331.9740344128495</c:v>
                </c:pt>
                <c:pt idx="3">
                  <c:v>-4231.974034412844</c:v>
                </c:pt>
                <c:pt idx="4">
                  <c:v>-2131.974034412844</c:v>
                </c:pt>
                <c:pt idx="5">
                  <c:v>1228.0259655871596</c:v>
                </c:pt>
                <c:pt idx="6">
                  <c:v>8368.025965587156</c:v>
                </c:pt>
              </c:numCache>
            </c:numRef>
          </c:val>
        </c:ser>
        <c:ser>
          <c:idx val="3"/>
          <c:order val="3"/>
          <c:tx>
            <c:v>500 Cows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Sensitivity!$F$124:$F$130</c:f>
              <c:numCache>
                <c:formatCode>_("$"* #,##0.00_);_("$"* \(#,##0.00\);_("$"* "-"??_);_(@_)</c:formatCode>
                <c:ptCount val="7"/>
                <c:pt idx="0">
                  <c:v>-14119.835953787846</c:v>
                </c:pt>
                <c:pt idx="1">
                  <c:v>-8869.8359537878314</c:v>
                </c:pt>
                <c:pt idx="2">
                  <c:v>-3619.8359537878587</c:v>
                </c:pt>
                <c:pt idx="3">
                  <c:v>1630.1640462121559</c:v>
                </c:pt>
                <c:pt idx="4">
                  <c:v>6880.1640462121559</c:v>
                </c:pt>
                <c:pt idx="5">
                  <c:v>15280.164046212161</c:v>
                </c:pt>
                <c:pt idx="6">
                  <c:v>33130.164046212158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65728"/>
        <c:axId val="239067904"/>
      </c:barChart>
      <c:catAx>
        <c:axId val="23906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Hay Storage Loss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spPr>
          <a:solidFill>
            <a:sysClr val="window" lastClr="FFFFFF"/>
          </a:solidFill>
        </c:spPr>
        <c:crossAx val="239067904"/>
        <c:crosses val="autoZero"/>
        <c:auto val="1"/>
        <c:lblAlgn val="ctr"/>
        <c:lblOffset val="100"/>
        <c:noMultiLvlLbl val="0"/>
      </c:catAx>
      <c:valAx>
        <c:axId val="239067904"/>
        <c:scaling>
          <c:orientation val="minMax"/>
          <c:min val="-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Savings</a:t>
                </a:r>
              </a:p>
            </c:rich>
          </c:tx>
          <c:layout/>
          <c:overlay val="0"/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39065728"/>
        <c:crosses val="autoZero"/>
        <c:crossBetween val="between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Savings from Individual Wrapper Purchase at Various Hay Storage Losses and Baleage Losses of Five Percent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25 Cows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Sensitivity!$C$136:$C$142</c:f>
              <c:numCache>
                <c:formatCode>_("$"* #,##0.00_);_("$"* \(#,##0.00\);_("$"* "-"??_);_(@_)</c:formatCode>
                <c:ptCount val="7"/>
                <c:pt idx="0">
                  <c:v>-6995.7358656279466</c:v>
                </c:pt>
                <c:pt idx="1">
                  <c:v>-6733.2358656279457</c:v>
                </c:pt>
                <c:pt idx="2">
                  <c:v>-6470.7358656279466</c:v>
                </c:pt>
                <c:pt idx="3">
                  <c:v>-6208.2358656279466</c:v>
                </c:pt>
                <c:pt idx="4">
                  <c:v>-5945.7358656279466</c:v>
                </c:pt>
                <c:pt idx="5">
                  <c:v>-5525.7358656279457</c:v>
                </c:pt>
                <c:pt idx="6">
                  <c:v>-4633.2358656279466</c:v>
                </c:pt>
              </c:numCache>
            </c:numRef>
          </c:val>
        </c:ser>
        <c:ser>
          <c:idx val="1"/>
          <c:order val="1"/>
          <c:tx>
            <c:v>100 Cows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Sensitivity!$D$136:$D$142</c:f>
              <c:numCache>
                <c:formatCode>_("$"* #,##0.00_);_("$"* \(#,##0.00\);_("$"* "-"??_);_(@_)</c:formatCode>
                <c:ptCount val="7"/>
                <c:pt idx="0">
                  <c:v>-8795.6448261279456</c:v>
                </c:pt>
                <c:pt idx="1">
                  <c:v>-7745.6448261279429</c:v>
                </c:pt>
                <c:pt idx="2">
                  <c:v>-6695.6448261279484</c:v>
                </c:pt>
                <c:pt idx="3">
                  <c:v>-5645.6448261279456</c:v>
                </c:pt>
                <c:pt idx="4">
                  <c:v>-4595.6448261279456</c:v>
                </c:pt>
                <c:pt idx="5">
                  <c:v>-2915.6448261279447</c:v>
                </c:pt>
                <c:pt idx="6">
                  <c:v>654.35517387205437</c:v>
                </c:pt>
              </c:numCache>
            </c:numRef>
          </c:val>
        </c:ser>
        <c:ser>
          <c:idx val="2"/>
          <c:order val="2"/>
          <c:tx>
            <c:v>200 Cows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Sensitivity!$E$136:$E$142</c:f>
              <c:numCache>
                <c:formatCode>_("$"* #,##0.00_);_("$"* \(#,##0.00\);_("$"* "-"??_);_(@_)</c:formatCode>
                <c:ptCount val="7"/>
                <c:pt idx="0">
                  <c:v>-11195.523440127945</c:v>
                </c:pt>
                <c:pt idx="1">
                  <c:v>-9095.5234401279395</c:v>
                </c:pt>
                <c:pt idx="2">
                  <c:v>-6995.5234401279504</c:v>
                </c:pt>
                <c:pt idx="3">
                  <c:v>-4895.5234401279449</c:v>
                </c:pt>
                <c:pt idx="4">
                  <c:v>-2795.5234401279449</c:v>
                </c:pt>
                <c:pt idx="5">
                  <c:v>564.4765598720569</c:v>
                </c:pt>
                <c:pt idx="6">
                  <c:v>7704.4765598720551</c:v>
                </c:pt>
              </c:numCache>
            </c:numRef>
          </c:val>
        </c:ser>
        <c:ser>
          <c:idx val="3"/>
          <c:order val="3"/>
          <c:tx>
            <c:v>500 Cows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Sensitivity!$F$136:$F$142</c:f>
              <c:numCache>
                <c:formatCode>_("$"* #,##0.00_);_("$"* \(#,##0.00\);_("$"* "-"??_);_(@_)</c:formatCode>
                <c:ptCount val="7"/>
                <c:pt idx="0">
                  <c:v>-18395.159282127941</c:v>
                </c:pt>
                <c:pt idx="1">
                  <c:v>-13145.159282127928</c:v>
                </c:pt>
                <c:pt idx="2">
                  <c:v>-7895.1592821279573</c:v>
                </c:pt>
                <c:pt idx="3">
                  <c:v>-2645.1592821279428</c:v>
                </c:pt>
                <c:pt idx="4">
                  <c:v>2604.8407178720572</c:v>
                </c:pt>
                <c:pt idx="5">
                  <c:v>11004.840717872063</c:v>
                </c:pt>
                <c:pt idx="6">
                  <c:v>28854.840717872055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94112"/>
        <c:axId val="239196032"/>
      </c:barChart>
      <c:catAx>
        <c:axId val="23919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Hay Storage Loss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solidFill>
            <a:schemeClr val="bg1"/>
          </a:solidFill>
        </c:spPr>
        <c:crossAx val="239196032"/>
        <c:crosses val="autoZero"/>
        <c:auto val="1"/>
        <c:lblAlgn val="ctr"/>
        <c:lblOffset val="100"/>
        <c:noMultiLvlLbl val="0"/>
      </c:catAx>
      <c:valAx>
        <c:axId val="239196032"/>
        <c:scaling>
          <c:orientation val="minMax"/>
          <c:min val="-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Savings</a:t>
                </a:r>
              </a:p>
            </c:rich>
          </c:tx>
          <c:overlay val="0"/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39194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3" workbookViewId="0" zoomToFit="1"/>
  </sheetViews>
  <pageMargins left="0.7" right="0.7" top="0.75" bottom="0.75" header="0.3" footer="0.3"/>
  <pageSetup orientation="landscape" verticalDpi="2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pageSetup orientation="landscape" verticalDpi="2" r:id="rId1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39</xdr:row>
      <xdr:rowOff>152400</xdr:rowOff>
    </xdr:from>
    <xdr:to>
      <xdr:col>0</xdr:col>
      <xdr:colOff>1916430</xdr:colOff>
      <xdr:row>44</xdr:row>
      <xdr:rowOff>57150</xdr:rowOff>
    </xdr:to>
    <xdr:pic>
      <xdr:nvPicPr>
        <xdr:cNvPr id="2" name="Picture 1" descr="LSUAC4C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7048500"/>
          <a:ext cx="149733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2352675</xdr:colOff>
      <xdr:row>39</xdr:row>
      <xdr:rowOff>28575</xdr:rowOff>
    </xdr:from>
    <xdr:to>
      <xdr:col>3</xdr:col>
      <xdr:colOff>1053846</xdr:colOff>
      <xdr:row>44</xdr:row>
      <xdr:rowOff>120397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7686675"/>
          <a:ext cx="3301746" cy="1044322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1295400</xdr:colOff>
      <xdr:row>38</xdr:row>
      <xdr:rowOff>152400</xdr:rowOff>
    </xdr:from>
    <xdr:to>
      <xdr:col>5</xdr:col>
      <xdr:colOff>485775</xdr:colOff>
      <xdr:row>44</xdr:row>
      <xdr:rowOff>29242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7620000"/>
          <a:ext cx="3162300" cy="1019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cy@uga.edu?subject=Baleage%20Spreadsheet" TargetMode="External"/><Relationship Id="rId1" Type="http://schemas.openxmlformats.org/officeDocument/2006/relationships/hyperlink" Target="mailto:rpruitt@agcenter.lsu.edu?subject=Baleage%20Spreadshee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aes.uga.edu/Publications/pubDetail.cfm?pk_ID=7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W45"/>
  <sheetViews>
    <sheetView topLeftCell="A13" workbookViewId="0">
      <selection activeCell="E25" sqref="E25"/>
    </sheetView>
  </sheetViews>
  <sheetFormatPr defaultRowHeight="15" x14ac:dyDescent="0.25"/>
  <cols>
    <col min="1" max="1" width="44.42578125" style="11" customWidth="1"/>
    <col min="2" max="2" width="12.5703125" style="11" bestFit="1" customWidth="1"/>
    <col min="3" max="3" width="12" style="50" bestFit="1" customWidth="1"/>
    <col min="4" max="4" width="42.7109375" style="11" bestFit="1" customWidth="1"/>
    <col min="5" max="5" width="16.85546875" style="11" bestFit="1" customWidth="1"/>
    <col min="6" max="6" width="18.28515625" style="11" customWidth="1"/>
    <col min="7" max="7" width="7" style="13" bestFit="1" customWidth="1"/>
    <col min="8" max="8" width="39" style="13" bestFit="1" customWidth="1"/>
    <col min="9" max="12" width="9.140625" style="13"/>
    <col min="13" max="13" width="14" style="13" bestFit="1" customWidth="1"/>
    <col min="14" max="17" width="9.140625" style="13"/>
    <col min="18" max="153" width="9.140625" style="50"/>
    <col min="154" max="16384" width="9.140625" style="11"/>
  </cols>
  <sheetData>
    <row r="1" spans="1:17" x14ac:dyDescent="0.25">
      <c r="A1" s="43" t="s">
        <v>131</v>
      </c>
    </row>
    <row r="2" spans="1:17" x14ac:dyDescent="0.25">
      <c r="A2" s="43" t="s">
        <v>126</v>
      </c>
    </row>
    <row r="3" spans="1:17" x14ac:dyDescent="0.25">
      <c r="A3" s="43" t="s">
        <v>127</v>
      </c>
      <c r="F3" s="14"/>
      <c r="I3" s="13" t="s">
        <v>91</v>
      </c>
    </row>
    <row r="4" spans="1:17" x14ac:dyDescent="0.25">
      <c r="I4" s="13" t="s">
        <v>51</v>
      </c>
    </row>
    <row r="5" spans="1:17" ht="21" x14ac:dyDescent="0.35">
      <c r="A5" s="73" t="s">
        <v>4</v>
      </c>
      <c r="B5" s="73"/>
      <c r="D5" s="73" t="s">
        <v>5</v>
      </c>
      <c r="E5" s="73"/>
      <c r="F5" s="73"/>
      <c r="H5" s="13" t="s">
        <v>8</v>
      </c>
      <c r="J5" s="13" t="s">
        <v>38</v>
      </c>
      <c r="K5" s="13" t="s">
        <v>39</v>
      </c>
      <c r="L5" s="13" t="s">
        <v>40</v>
      </c>
      <c r="M5" s="13" t="s">
        <v>41</v>
      </c>
      <c r="N5" s="13" t="s">
        <v>42</v>
      </c>
      <c r="O5" s="13" t="s">
        <v>43</v>
      </c>
      <c r="P5" s="13" t="s">
        <v>44</v>
      </c>
      <c r="Q5" s="13" t="s">
        <v>45</v>
      </c>
    </row>
    <row r="6" spans="1:17" x14ac:dyDescent="0.25">
      <c r="A6" s="12" t="s">
        <v>0</v>
      </c>
      <c r="B6" s="1">
        <v>100</v>
      </c>
      <c r="D6" s="74" t="s">
        <v>34</v>
      </c>
      <c r="E6" s="74"/>
      <c r="F6" s="74"/>
      <c r="H6" s="15" t="s">
        <v>6</v>
      </c>
      <c r="J6" s="16" t="s">
        <v>37</v>
      </c>
      <c r="K6" s="16" t="s">
        <v>37</v>
      </c>
      <c r="L6" s="17">
        <v>1.544</v>
      </c>
      <c r="M6" s="18">
        <v>28100</v>
      </c>
      <c r="N6" s="19">
        <v>0.4</v>
      </c>
      <c r="O6" s="19">
        <v>0.15</v>
      </c>
      <c r="P6" s="20">
        <v>8</v>
      </c>
      <c r="Q6" s="20">
        <v>600</v>
      </c>
    </row>
    <row r="7" spans="1:17" x14ac:dyDescent="0.25">
      <c r="A7" s="12" t="s">
        <v>1</v>
      </c>
      <c r="B7" s="57">
        <v>1200</v>
      </c>
      <c r="D7" s="21" t="s">
        <v>89</v>
      </c>
      <c r="E7" s="41"/>
      <c r="F7" s="10" t="s">
        <v>51</v>
      </c>
      <c r="G7" s="13" t="s">
        <v>110</v>
      </c>
      <c r="H7" s="15" t="s">
        <v>7</v>
      </c>
      <c r="J7" s="16" t="s">
        <v>37</v>
      </c>
      <c r="K7" s="16" t="s">
        <v>37</v>
      </c>
      <c r="L7" s="17">
        <v>1.544</v>
      </c>
      <c r="M7" s="18">
        <v>17400</v>
      </c>
      <c r="N7" s="19">
        <v>0.4</v>
      </c>
      <c r="O7" s="19">
        <v>0.15</v>
      </c>
      <c r="P7" s="20">
        <v>8</v>
      </c>
      <c r="Q7" s="20">
        <v>600</v>
      </c>
    </row>
    <row r="8" spans="1:17" x14ac:dyDescent="0.25">
      <c r="A8" s="12" t="s">
        <v>2</v>
      </c>
      <c r="B8" s="1">
        <v>150</v>
      </c>
      <c r="D8" s="21" t="s">
        <v>90</v>
      </c>
      <c r="E8" s="22"/>
      <c r="F8" s="5">
        <v>22500</v>
      </c>
      <c r="H8" s="15" t="s">
        <v>9</v>
      </c>
      <c r="J8" s="16" t="s">
        <v>37</v>
      </c>
      <c r="K8" s="16" t="s">
        <v>37</v>
      </c>
      <c r="L8" s="17">
        <v>2.5735999999999999</v>
      </c>
      <c r="M8" s="18">
        <v>35200</v>
      </c>
      <c r="N8" s="19">
        <v>0.4</v>
      </c>
      <c r="O8" s="19">
        <v>0.15</v>
      </c>
      <c r="P8" s="20">
        <v>8</v>
      </c>
      <c r="Q8" s="20">
        <v>600</v>
      </c>
    </row>
    <row r="9" spans="1:17" x14ac:dyDescent="0.25">
      <c r="A9" s="12" t="s">
        <v>145</v>
      </c>
      <c r="B9" s="4">
        <v>0.85</v>
      </c>
      <c r="D9" s="12" t="s">
        <v>86</v>
      </c>
      <c r="E9" s="12"/>
      <c r="F9" s="3">
        <v>30000</v>
      </c>
      <c r="H9" s="15" t="s">
        <v>10</v>
      </c>
      <c r="J9" s="16" t="s">
        <v>37</v>
      </c>
      <c r="K9" s="16" t="s">
        <v>37</v>
      </c>
      <c r="L9" s="17">
        <v>2.5735999999999999</v>
      </c>
      <c r="M9" s="18">
        <v>36700</v>
      </c>
      <c r="N9" s="19">
        <v>0.4</v>
      </c>
      <c r="O9" s="19">
        <v>0.15</v>
      </c>
      <c r="P9" s="20">
        <v>8</v>
      </c>
      <c r="Q9" s="20">
        <v>600</v>
      </c>
    </row>
    <row r="10" spans="1:17" x14ac:dyDescent="0.25">
      <c r="A10" s="12" t="s">
        <v>146</v>
      </c>
      <c r="B10" s="4">
        <v>0.5</v>
      </c>
      <c r="D10" s="12" t="s">
        <v>50</v>
      </c>
      <c r="E10" s="12"/>
      <c r="F10" s="4">
        <v>5.2499999999999998E-2</v>
      </c>
      <c r="H10" s="15" t="s">
        <v>31</v>
      </c>
      <c r="J10" s="16" t="s">
        <v>37</v>
      </c>
      <c r="K10" s="16" t="s">
        <v>37</v>
      </c>
      <c r="L10" s="17">
        <v>2.5735999999999999</v>
      </c>
      <c r="M10" s="18">
        <v>20500</v>
      </c>
      <c r="N10" s="19">
        <v>0.4</v>
      </c>
      <c r="O10" s="19">
        <v>0.15</v>
      </c>
      <c r="P10" s="20">
        <v>8</v>
      </c>
      <c r="Q10" s="20">
        <v>600</v>
      </c>
    </row>
    <row r="11" spans="1:17" x14ac:dyDescent="0.25">
      <c r="A11" s="12" t="s">
        <v>135</v>
      </c>
      <c r="B11" s="24">
        <f>B6*B7*B8*0.02</f>
        <v>360000</v>
      </c>
      <c r="C11" s="77">
        <f>B12/B6</f>
        <v>1.8</v>
      </c>
      <c r="D11" s="11" t="s">
        <v>79</v>
      </c>
      <c r="F11" s="2">
        <v>5</v>
      </c>
      <c r="H11" s="15" t="s">
        <v>32</v>
      </c>
      <c r="J11" s="16" t="s">
        <v>37</v>
      </c>
      <c r="K11" s="16" t="s">
        <v>37</v>
      </c>
      <c r="L11" s="17">
        <v>2.5735999999999999</v>
      </c>
      <c r="M11" s="18">
        <v>29000</v>
      </c>
      <c r="N11" s="19">
        <v>0.4</v>
      </c>
      <c r="O11" s="19">
        <v>0.15</v>
      </c>
      <c r="P11" s="20">
        <v>8</v>
      </c>
      <c r="Q11" s="20">
        <v>600</v>
      </c>
    </row>
    <row r="12" spans="1:17" x14ac:dyDescent="0.25">
      <c r="A12" s="12" t="s">
        <v>136</v>
      </c>
      <c r="B12" s="47">
        <f>B11/2000</f>
        <v>180</v>
      </c>
      <c r="C12" s="77"/>
      <c r="F12" s="54"/>
      <c r="H12" s="15" t="s">
        <v>11</v>
      </c>
      <c r="J12" s="16" t="s">
        <v>37</v>
      </c>
      <c r="K12" s="16" t="s">
        <v>37</v>
      </c>
      <c r="L12" s="17">
        <v>3.8603999999999998</v>
      </c>
      <c r="M12" s="18">
        <v>45300</v>
      </c>
      <c r="N12" s="19">
        <v>0.4</v>
      </c>
      <c r="O12" s="19">
        <v>0.15</v>
      </c>
      <c r="P12" s="20">
        <v>8</v>
      </c>
      <c r="Q12" s="20">
        <v>600</v>
      </c>
    </row>
    <row r="13" spans="1:17" x14ac:dyDescent="0.25">
      <c r="A13" s="12" t="s">
        <v>148</v>
      </c>
      <c r="B13" s="55">
        <v>2000</v>
      </c>
      <c r="C13" s="77"/>
      <c r="F13" s="54"/>
      <c r="H13" s="15" t="s">
        <v>12</v>
      </c>
      <c r="J13" s="16" t="s">
        <v>37</v>
      </c>
      <c r="K13" s="16" t="s">
        <v>37</v>
      </c>
      <c r="L13" s="17">
        <v>3.8603999999999998</v>
      </c>
      <c r="M13" s="18">
        <v>49400</v>
      </c>
      <c r="N13" s="19">
        <v>0.4</v>
      </c>
      <c r="O13" s="19">
        <v>0.15</v>
      </c>
      <c r="P13" s="20">
        <v>8</v>
      </c>
      <c r="Q13" s="20">
        <v>600</v>
      </c>
    </row>
    <row r="14" spans="1:17" x14ac:dyDescent="0.25">
      <c r="A14" s="12" t="s">
        <v>143</v>
      </c>
      <c r="B14" s="47">
        <f>ROUNDUP((B11/(B9*B32)),0)</f>
        <v>353</v>
      </c>
      <c r="C14" s="77"/>
      <c r="F14" s="54"/>
      <c r="H14" s="15" t="s">
        <v>33</v>
      </c>
      <c r="J14" s="16" t="s">
        <v>37</v>
      </c>
      <c r="K14" s="16" t="s">
        <v>37</v>
      </c>
      <c r="L14" s="17">
        <v>3.8603999999999998</v>
      </c>
      <c r="M14" s="18">
        <v>33600</v>
      </c>
      <c r="N14" s="19">
        <v>0.4</v>
      </c>
      <c r="O14" s="19">
        <v>0.15</v>
      </c>
      <c r="P14" s="20">
        <v>8</v>
      </c>
      <c r="Q14" s="20">
        <v>600</v>
      </c>
    </row>
    <row r="15" spans="1:17" x14ac:dyDescent="0.25">
      <c r="A15" s="12" t="s">
        <v>144</v>
      </c>
      <c r="B15" s="47">
        <f>ROUNDUP((B11/(B13*B10)),0)</f>
        <v>360</v>
      </c>
      <c r="C15" s="79"/>
      <c r="D15" s="12"/>
      <c r="E15" s="23" t="s">
        <v>47</v>
      </c>
      <c r="F15" s="23" t="s">
        <v>46</v>
      </c>
      <c r="H15" s="15" t="s">
        <v>34</v>
      </c>
      <c r="J15" s="16" t="s">
        <v>37</v>
      </c>
      <c r="K15" s="16" t="s">
        <v>37</v>
      </c>
      <c r="L15" s="17">
        <v>3.8603999999999998</v>
      </c>
      <c r="M15" s="18">
        <v>40300</v>
      </c>
      <c r="N15" s="19">
        <v>0.4</v>
      </c>
      <c r="O15" s="19">
        <v>0.15</v>
      </c>
      <c r="P15" s="20">
        <v>8</v>
      </c>
      <c r="Q15" s="20">
        <v>600</v>
      </c>
    </row>
    <row r="16" spans="1:17" x14ac:dyDescent="0.25">
      <c r="A16" s="12" t="s">
        <v>87</v>
      </c>
      <c r="B16" s="68">
        <v>525</v>
      </c>
      <c r="C16" s="13"/>
      <c r="D16" s="12" t="s">
        <v>56</v>
      </c>
      <c r="E16" s="26">
        <f>IF($D$6=$H$5,0,VLOOKUP(D6,$H$6:$Q$35,6,FALSE))</f>
        <v>40300</v>
      </c>
      <c r="F16" s="3"/>
      <c r="G16" s="13">
        <f>IF(F16=0,E16,F16)</f>
        <v>40300</v>
      </c>
      <c r="H16" s="15" t="s">
        <v>13</v>
      </c>
      <c r="J16" s="16" t="s">
        <v>37</v>
      </c>
      <c r="K16" s="16" t="s">
        <v>37</v>
      </c>
      <c r="L16" s="17">
        <v>5.4046000000000003</v>
      </c>
      <c r="M16" s="18">
        <v>57700</v>
      </c>
      <c r="N16" s="19">
        <v>0.4</v>
      </c>
      <c r="O16" s="19">
        <v>0.15</v>
      </c>
      <c r="P16" s="20">
        <v>8</v>
      </c>
      <c r="Q16" s="20">
        <v>600</v>
      </c>
    </row>
    <row r="17" spans="1:17" x14ac:dyDescent="0.25">
      <c r="A17" s="12"/>
      <c r="B17" s="12"/>
      <c r="C17" s="13"/>
      <c r="D17" s="12" t="s">
        <v>57</v>
      </c>
      <c r="E17" s="25">
        <f>IF($D$6=$H$5,0,VLOOKUP(D6,$H$6:$Q$35,10,FALSE))</f>
        <v>600</v>
      </c>
      <c r="F17" s="2"/>
      <c r="G17" s="13">
        <f t="shared" ref="G17:G30" si="0">IF(F17=0,E17,F17)</f>
        <v>600</v>
      </c>
      <c r="H17" s="15" t="s">
        <v>14</v>
      </c>
      <c r="J17" s="16" t="s">
        <v>37</v>
      </c>
      <c r="K17" s="16" t="s">
        <v>37</v>
      </c>
      <c r="L17" s="17">
        <v>5.4046000000000003</v>
      </c>
      <c r="M17" s="18">
        <v>74700</v>
      </c>
      <c r="N17" s="19">
        <v>0.4</v>
      </c>
      <c r="O17" s="19">
        <v>0.15</v>
      </c>
      <c r="P17" s="20">
        <v>8</v>
      </c>
      <c r="Q17" s="20">
        <v>600</v>
      </c>
    </row>
    <row r="18" spans="1:17" x14ac:dyDescent="0.25">
      <c r="A18" s="11" t="s">
        <v>138</v>
      </c>
      <c r="B18" s="59">
        <v>1.5</v>
      </c>
      <c r="C18" s="80">
        <f>B18*2000</f>
        <v>3000</v>
      </c>
      <c r="D18" s="12" t="s">
        <v>58</v>
      </c>
      <c r="E18" s="25">
        <f>IF($D$6=$H$5,0,VLOOKUP(D6,$H$6:$Q$35,9,FALSE))</f>
        <v>8</v>
      </c>
      <c r="F18" s="2"/>
      <c r="G18" s="13">
        <f t="shared" si="0"/>
        <v>8</v>
      </c>
      <c r="H18" s="15" t="s">
        <v>35</v>
      </c>
      <c r="J18" s="16" t="s">
        <v>37</v>
      </c>
      <c r="K18" s="16" t="s">
        <v>37</v>
      </c>
      <c r="L18" s="17">
        <v>5.4046000000000003</v>
      </c>
      <c r="M18" s="18">
        <v>45800</v>
      </c>
      <c r="N18" s="19">
        <v>0.4</v>
      </c>
      <c r="O18" s="19">
        <v>0.15</v>
      </c>
      <c r="P18" s="20">
        <v>8</v>
      </c>
      <c r="Q18" s="20">
        <v>600</v>
      </c>
    </row>
    <row r="19" spans="1:17" x14ac:dyDescent="0.25">
      <c r="A19" s="12" t="s">
        <v>3</v>
      </c>
      <c r="B19" s="1">
        <v>3</v>
      </c>
      <c r="C19" s="77">
        <f>C18/(B13*B10)</f>
        <v>3</v>
      </c>
      <c r="D19" s="12" t="s">
        <v>59</v>
      </c>
      <c r="E19" s="27">
        <f>IF($D$6=$H$5,0,VLOOKUP(D6,$H$6:$Q$35,7,FALSE))</f>
        <v>0.4</v>
      </c>
      <c r="F19" s="4"/>
      <c r="G19" s="13">
        <f t="shared" si="0"/>
        <v>0.4</v>
      </c>
      <c r="H19" s="15" t="s">
        <v>36</v>
      </c>
      <c r="J19" s="16" t="s">
        <v>37</v>
      </c>
      <c r="K19" s="16" t="s">
        <v>37</v>
      </c>
      <c r="L19" s="17">
        <v>5.4046000000000003</v>
      </c>
      <c r="M19" s="18">
        <v>51800</v>
      </c>
      <c r="N19" s="19">
        <v>0.4</v>
      </c>
      <c r="O19" s="19">
        <v>0.15</v>
      </c>
      <c r="P19" s="20">
        <v>8</v>
      </c>
      <c r="Q19" s="20">
        <v>600</v>
      </c>
    </row>
    <row r="20" spans="1:17" x14ac:dyDescent="0.25">
      <c r="A20" s="12" t="s">
        <v>137</v>
      </c>
      <c r="B20" s="48">
        <f>(B12)/((B18*B19))</f>
        <v>40</v>
      </c>
      <c r="C20" s="13">
        <f>0.211^-1</f>
        <v>4.7393364928909953</v>
      </c>
      <c r="D20" s="12" t="s">
        <v>60</v>
      </c>
      <c r="E20" s="27">
        <f>IF($D$6=$H$5,0,VLOOKUP(D6,$H$6:$Q$35,8,FALSE))</f>
        <v>0.15</v>
      </c>
      <c r="F20" s="4"/>
      <c r="G20" s="13">
        <f t="shared" si="0"/>
        <v>0.15</v>
      </c>
      <c r="H20" s="15" t="s">
        <v>15</v>
      </c>
      <c r="J20" s="16" t="s">
        <v>37</v>
      </c>
      <c r="K20" s="16" t="s">
        <v>37</v>
      </c>
      <c r="L20" s="17">
        <v>6.6913999999999998</v>
      </c>
      <c r="M20" s="18">
        <v>82300</v>
      </c>
      <c r="N20" s="19">
        <v>0.4</v>
      </c>
      <c r="O20" s="19">
        <v>0.15</v>
      </c>
      <c r="P20" s="20">
        <v>8</v>
      </c>
      <c r="Q20" s="20">
        <v>600</v>
      </c>
    </row>
    <row r="21" spans="1:17" x14ac:dyDescent="0.25">
      <c r="A21" s="11" t="s">
        <v>53</v>
      </c>
      <c r="B21" s="30">
        <f>E27</f>
        <v>96</v>
      </c>
      <c r="C21" s="81">
        <f>C20*C19</f>
        <v>14.218009478672986</v>
      </c>
      <c r="D21" s="12" t="s">
        <v>61</v>
      </c>
      <c r="E21" s="25">
        <f>IF($D$6=$H$5,0,VLOOKUP(D6,$H$6:$Q$35,5,FALSE))</f>
        <v>3.8603999999999998</v>
      </c>
      <c r="F21" s="2"/>
      <c r="G21" s="13">
        <f t="shared" si="0"/>
        <v>3.8603999999999998</v>
      </c>
      <c r="H21" s="15" t="s">
        <v>16</v>
      </c>
      <c r="J21" s="16" t="s">
        <v>37</v>
      </c>
      <c r="K21" s="16" t="s">
        <v>37</v>
      </c>
      <c r="L21" s="17">
        <v>6.6913999999999998</v>
      </c>
      <c r="M21" s="18">
        <v>101000</v>
      </c>
      <c r="N21" s="19">
        <v>0.4</v>
      </c>
      <c r="O21" s="19">
        <v>0.15</v>
      </c>
      <c r="P21" s="20">
        <v>8</v>
      </c>
      <c r="Q21" s="20">
        <v>600</v>
      </c>
    </row>
    <row r="22" spans="1:17" x14ac:dyDescent="0.25">
      <c r="A22" s="50"/>
      <c r="B22" s="77">
        <f>C18/(B32*B9)</f>
        <v>2.9411764705882355</v>
      </c>
      <c r="C22" s="77">
        <f>B19*(B18)*2000</f>
        <v>9000</v>
      </c>
      <c r="D22" s="12" t="s">
        <v>48</v>
      </c>
      <c r="E22" s="26">
        <v>3.3</v>
      </c>
      <c r="F22" s="3"/>
      <c r="G22" s="13">
        <f t="shared" si="0"/>
        <v>3.3</v>
      </c>
      <c r="H22" s="15" t="s">
        <v>17</v>
      </c>
      <c r="J22" s="16" t="s">
        <v>37</v>
      </c>
      <c r="K22" s="16" t="s">
        <v>37</v>
      </c>
      <c r="L22" s="17">
        <v>7.7209000000000003</v>
      </c>
      <c r="M22" s="18">
        <v>131000</v>
      </c>
      <c r="N22" s="19">
        <v>0.4</v>
      </c>
      <c r="O22" s="19">
        <v>0.15</v>
      </c>
      <c r="P22" s="20">
        <v>8</v>
      </c>
      <c r="Q22" s="20">
        <v>600</v>
      </c>
    </row>
    <row r="23" spans="1:17" x14ac:dyDescent="0.25">
      <c r="A23" s="50"/>
      <c r="B23" s="78">
        <f>B22*C20</f>
        <v>13.939224979091163</v>
      </c>
      <c r="C23" s="77">
        <f>C22/(B13*B10)</f>
        <v>9</v>
      </c>
      <c r="D23" s="12" t="s">
        <v>49</v>
      </c>
      <c r="E23" s="26">
        <v>3.3</v>
      </c>
      <c r="F23" s="3"/>
      <c r="G23" s="13">
        <f t="shared" si="0"/>
        <v>3.3</v>
      </c>
      <c r="H23" s="15" t="s">
        <v>18</v>
      </c>
      <c r="J23" s="16" t="s">
        <v>37</v>
      </c>
      <c r="K23" s="16" t="s">
        <v>37</v>
      </c>
      <c r="L23" s="17">
        <v>7.7209000000000003</v>
      </c>
      <c r="M23" s="18">
        <v>133000</v>
      </c>
      <c r="N23" s="19">
        <v>0.4</v>
      </c>
      <c r="O23" s="19">
        <v>0.15</v>
      </c>
      <c r="P23" s="20">
        <v>8</v>
      </c>
      <c r="Q23" s="20">
        <v>600</v>
      </c>
    </row>
    <row r="24" spans="1:17" x14ac:dyDescent="0.25">
      <c r="B24" s="77">
        <f>B23*(B9*B32)/2000</f>
        <v>7.109004739336493</v>
      </c>
      <c r="C24" s="77">
        <f>C22/(B32*B9)</f>
        <v>8.8235294117647065</v>
      </c>
      <c r="D24" s="12" t="s">
        <v>52</v>
      </c>
      <c r="E24" s="28">
        <v>9.6</v>
      </c>
      <c r="F24" s="5"/>
      <c r="G24" s="13">
        <f t="shared" si="0"/>
        <v>9.6</v>
      </c>
      <c r="H24" s="15" t="s">
        <v>19</v>
      </c>
      <c r="J24" s="16" t="s">
        <v>37</v>
      </c>
      <c r="K24" s="16" t="s">
        <v>37</v>
      </c>
      <c r="L24" s="17">
        <v>8.7502999999999993</v>
      </c>
      <c r="M24" s="18">
        <v>119000</v>
      </c>
      <c r="N24" s="19">
        <v>0.35</v>
      </c>
      <c r="O24" s="19">
        <v>0.15</v>
      </c>
      <c r="P24" s="20">
        <v>8</v>
      </c>
      <c r="Q24" s="20">
        <v>600</v>
      </c>
    </row>
    <row r="25" spans="1:17" ht="21" x14ac:dyDescent="0.35">
      <c r="A25" s="73" t="s">
        <v>80</v>
      </c>
      <c r="B25" s="73"/>
      <c r="C25" s="69"/>
      <c r="D25" s="12" t="s">
        <v>54</v>
      </c>
      <c r="E25" s="29">
        <v>0.05</v>
      </c>
      <c r="F25" s="7"/>
      <c r="G25" s="13">
        <f t="shared" si="0"/>
        <v>0.05</v>
      </c>
      <c r="H25" s="15" t="s">
        <v>20</v>
      </c>
      <c r="J25" s="16" t="s">
        <v>37</v>
      </c>
      <c r="K25" s="16" t="s">
        <v>37</v>
      </c>
      <c r="L25" s="17">
        <v>8.7502999999999993</v>
      </c>
      <c r="M25" s="18">
        <v>154000</v>
      </c>
      <c r="N25" s="19">
        <v>0.35</v>
      </c>
      <c r="O25" s="19">
        <v>0.15</v>
      </c>
      <c r="P25" s="20">
        <v>8</v>
      </c>
      <c r="Q25" s="20">
        <v>600</v>
      </c>
    </row>
    <row r="26" spans="1:17" x14ac:dyDescent="0.25">
      <c r="A26" s="11" t="s">
        <v>81</v>
      </c>
      <c r="B26" s="5">
        <v>31500</v>
      </c>
      <c r="C26" s="69"/>
      <c r="D26" s="12" t="s">
        <v>55</v>
      </c>
      <c r="E26" s="29">
        <v>0.15</v>
      </c>
      <c r="F26" s="7"/>
      <c r="G26" s="13">
        <f t="shared" si="0"/>
        <v>0.15</v>
      </c>
      <c r="H26" s="15" t="s">
        <v>21</v>
      </c>
      <c r="J26" s="16" t="s">
        <v>37</v>
      </c>
      <c r="K26" s="16" t="s">
        <v>37</v>
      </c>
      <c r="L26" s="17">
        <v>9.7797999999999998</v>
      </c>
      <c r="M26" s="18">
        <v>208000</v>
      </c>
      <c r="N26" s="19">
        <v>0.35</v>
      </c>
      <c r="O26" s="19">
        <v>0.15</v>
      </c>
      <c r="P26" s="20">
        <v>8</v>
      </c>
      <c r="Q26" s="20">
        <v>600</v>
      </c>
    </row>
    <row r="27" spans="1:17" x14ac:dyDescent="0.25">
      <c r="A27" s="11" t="s">
        <v>82</v>
      </c>
      <c r="B27" s="5">
        <v>36500</v>
      </c>
      <c r="D27" s="12" t="s">
        <v>62</v>
      </c>
      <c r="E27" s="30">
        <f>IF(F7=I3,B15/7.5,B15/3.75)</f>
        <v>96</v>
      </c>
      <c r="F27" s="6"/>
      <c r="G27" s="13">
        <f t="shared" si="0"/>
        <v>96</v>
      </c>
      <c r="H27" s="15" t="s">
        <v>22</v>
      </c>
      <c r="J27" s="16" t="s">
        <v>37</v>
      </c>
      <c r="K27" s="16" t="s">
        <v>37</v>
      </c>
      <c r="L27" s="17">
        <v>11.581300000000001</v>
      </c>
      <c r="M27" s="18">
        <v>258000</v>
      </c>
      <c r="N27" s="19">
        <v>0.35</v>
      </c>
      <c r="O27" s="19">
        <v>0.15</v>
      </c>
      <c r="P27" s="20">
        <v>8</v>
      </c>
      <c r="Q27" s="20">
        <v>600</v>
      </c>
    </row>
    <row r="28" spans="1:17" x14ac:dyDescent="0.25">
      <c r="D28" s="12" t="s">
        <v>63</v>
      </c>
      <c r="E28" s="30">
        <v>15</v>
      </c>
      <c r="F28" s="6"/>
      <c r="G28" s="13">
        <f t="shared" si="0"/>
        <v>15</v>
      </c>
      <c r="H28" s="15" t="s">
        <v>23</v>
      </c>
      <c r="J28" s="16" t="s">
        <v>37</v>
      </c>
      <c r="K28" s="16" t="s">
        <v>37</v>
      </c>
      <c r="L28" s="17">
        <v>11.581300000000001</v>
      </c>
      <c r="M28" s="18">
        <v>262000</v>
      </c>
      <c r="N28" s="19">
        <v>0.35</v>
      </c>
      <c r="O28" s="19">
        <v>0.15</v>
      </c>
      <c r="P28" s="20">
        <v>8</v>
      </c>
      <c r="Q28" s="20">
        <v>600</v>
      </c>
    </row>
    <row r="29" spans="1:17" ht="21" x14ac:dyDescent="0.35">
      <c r="A29" s="73" t="s">
        <v>83</v>
      </c>
      <c r="B29" s="73"/>
      <c r="D29" s="12" t="s">
        <v>153</v>
      </c>
      <c r="E29" s="28">
        <v>89</v>
      </c>
      <c r="F29" s="5"/>
      <c r="G29" s="13">
        <f t="shared" si="0"/>
        <v>89</v>
      </c>
      <c r="H29" s="15" t="s">
        <v>24</v>
      </c>
      <c r="J29" s="16" t="s">
        <v>37</v>
      </c>
      <c r="K29" s="16" t="s">
        <v>37</v>
      </c>
      <c r="L29" s="17">
        <v>15.441800000000001</v>
      </c>
      <c r="M29" s="18">
        <v>247000</v>
      </c>
      <c r="N29" s="19">
        <v>0.35</v>
      </c>
      <c r="O29" s="19">
        <v>0.15</v>
      </c>
      <c r="P29" s="20">
        <v>8</v>
      </c>
      <c r="Q29" s="20">
        <v>600</v>
      </c>
    </row>
    <row r="30" spans="1:17" x14ac:dyDescent="0.25">
      <c r="A30" s="11" t="s">
        <v>84</v>
      </c>
      <c r="B30" s="7">
        <v>0.25</v>
      </c>
      <c r="D30" s="12" t="s">
        <v>64</v>
      </c>
      <c r="E30" s="56">
        <f>IF(I3=F7,48,15)</f>
        <v>15</v>
      </c>
      <c r="F30" s="8"/>
      <c r="G30" s="13">
        <f t="shared" si="0"/>
        <v>15</v>
      </c>
      <c r="H30" s="15" t="s">
        <v>25</v>
      </c>
      <c r="J30" s="16" t="s">
        <v>37</v>
      </c>
      <c r="K30" s="16" t="s">
        <v>37</v>
      </c>
      <c r="L30" s="17">
        <v>15.441800000000001</v>
      </c>
      <c r="M30" s="18">
        <v>260000</v>
      </c>
      <c r="N30" s="19">
        <v>0.35</v>
      </c>
      <c r="O30" s="19">
        <v>0.15</v>
      </c>
      <c r="P30" s="20">
        <v>8</v>
      </c>
      <c r="Q30" s="20">
        <v>600</v>
      </c>
    </row>
    <row r="31" spans="1:17" x14ac:dyDescent="0.25">
      <c r="A31" s="11" t="s">
        <v>85</v>
      </c>
      <c r="B31" s="7">
        <v>0.05</v>
      </c>
      <c r="H31" s="15" t="s">
        <v>26</v>
      </c>
      <c r="J31" s="16" t="s">
        <v>37</v>
      </c>
      <c r="K31" s="16" t="s">
        <v>37</v>
      </c>
      <c r="L31" s="17">
        <v>15.441800000000001</v>
      </c>
      <c r="M31" s="18">
        <v>300000</v>
      </c>
      <c r="N31" s="19">
        <v>0.35</v>
      </c>
      <c r="O31" s="19">
        <v>0.15</v>
      </c>
      <c r="P31" s="20">
        <v>8</v>
      </c>
      <c r="Q31" s="20">
        <v>600</v>
      </c>
    </row>
    <row r="32" spans="1:17" x14ac:dyDescent="0.25">
      <c r="A32" s="11" t="s">
        <v>149</v>
      </c>
      <c r="B32" s="42">
        <v>1200</v>
      </c>
      <c r="D32" s="14"/>
      <c r="H32" s="15" t="s">
        <v>27</v>
      </c>
      <c r="J32" s="16" t="s">
        <v>37</v>
      </c>
      <c r="K32" s="16" t="s">
        <v>37</v>
      </c>
      <c r="L32" s="17">
        <v>20.588999999999999</v>
      </c>
      <c r="M32" s="18">
        <v>345000</v>
      </c>
      <c r="N32" s="19">
        <v>0.35</v>
      </c>
      <c r="O32" s="19">
        <v>0.15</v>
      </c>
      <c r="P32" s="20">
        <v>8</v>
      </c>
      <c r="Q32" s="20">
        <v>600</v>
      </c>
    </row>
    <row r="33" spans="1:17" x14ac:dyDescent="0.25">
      <c r="B33" s="58"/>
      <c r="H33" s="15" t="s">
        <v>28</v>
      </c>
      <c r="J33" s="16" t="s">
        <v>37</v>
      </c>
      <c r="K33" s="16" t="s">
        <v>37</v>
      </c>
      <c r="L33" s="17">
        <v>20.588999999999999</v>
      </c>
      <c r="M33" s="18">
        <v>343000</v>
      </c>
      <c r="N33" s="19">
        <v>0.35</v>
      </c>
      <c r="O33" s="19">
        <v>0.15</v>
      </c>
      <c r="P33" s="20">
        <v>8</v>
      </c>
      <c r="Q33" s="20">
        <v>600</v>
      </c>
    </row>
    <row r="34" spans="1:17" x14ac:dyDescent="0.25">
      <c r="H34" s="15" t="s">
        <v>29</v>
      </c>
      <c r="J34" s="16" t="s">
        <v>37</v>
      </c>
      <c r="K34" s="16" t="s">
        <v>37</v>
      </c>
      <c r="L34" s="17">
        <v>25.736000000000001</v>
      </c>
      <c r="M34" s="18">
        <v>376000</v>
      </c>
      <c r="N34" s="19">
        <v>0.35</v>
      </c>
      <c r="O34" s="19">
        <v>0.15</v>
      </c>
      <c r="P34" s="20">
        <v>8</v>
      </c>
      <c r="Q34" s="20">
        <v>600</v>
      </c>
    </row>
    <row r="35" spans="1:17" x14ac:dyDescent="0.25">
      <c r="H35" s="15" t="s">
        <v>30</v>
      </c>
      <c r="J35" s="16" t="s">
        <v>37</v>
      </c>
      <c r="K35" s="16" t="s">
        <v>37</v>
      </c>
      <c r="L35" s="17">
        <v>25.736000000000001</v>
      </c>
      <c r="M35" s="18">
        <v>283094</v>
      </c>
      <c r="N35" s="19">
        <v>0.35</v>
      </c>
      <c r="O35" s="19">
        <v>0.15</v>
      </c>
      <c r="P35" s="20">
        <v>8</v>
      </c>
      <c r="Q35" s="20">
        <v>600</v>
      </c>
    </row>
    <row r="36" spans="1:17" x14ac:dyDescent="0.25">
      <c r="A36" s="43" t="s">
        <v>132</v>
      </c>
      <c r="J36" s="16"/>
      <c r="K36" s="16"/>
      <c r="L36" s="17"/>
      <c r="M36" s="18"/>
      <c r="N36" s="19"/>
      <c r="O36" s="19"/>
      <c r="P36" s="20"/>
      <c r="Q36" s="20"/>
    </row>
    <row r="37" spans="1:17" x14ac:dyDescent="0.25">
      <c r="A37" s="43" t="s">
        <v>133</v>
      </c>
      <c r="J37" s="16"/>
      <c r="K37" s="51"/>
      <c r="L37" s="17"/>
      <c r="M37" s="18"/>
      <c r="N37" s="19"/>
      <c r="O37" s="19"/>
      <c r="P37" s="20"/>
      <c r="Q37" s="20"/>
    </row>
    <row r="38" spans="1:17" x14ac:dyDescent="0.25">
      <c r="A38" s="43" t="s">
        <v>128</v>
      </c>
      <c r="B38" s="44" t="s">
        <v>129</v>
      </c>
      <c r="J38" s="16"/>
      <c r="K38" s="51"/>
      <c r="L38" s="17"/>
      <c r="M38" s="18"/>
      <c r="N38" s="19"/>
      <c r="O38" s="19"/>
      <c r="P38" s="20"/>
      <c r="Q38" s="20"/>
    </row>
    <row r="39" spans="1:17" x14ac:dyDescent="0.25">
      <c r="B39" s="44" t="s">
        <v>130</v>
      </c>
      <c r="J39" s="16"/>
      <c r="K39" s="51"/>
      <c r="L39" s="17"/>
      <c r="M39" s="18"/>
      <c r="N39" s="19"/>
      <c r="O39" s="19"/>
      <c r="P39" s="20"/>
      <c r="Q39" s="20"/>
    </row>
    <row r="40" spans="1:17" x14ac:dyDescent="0.25">
      <c r="J40" s="16"/>
      <c r="K40" s="16"/>
      <c r="L40" s="17"/>
      <c r="M40" s="18"/>
      <c r="N40" s="19"/>
      <c r="O40" s="19"/>
      <c r="P40" s="20"/>
      <c r="Q40" s="20"/>
    </row>
    <row r="41" spans="1:17" x14ac:dyDescent="0.25">
      <c r="J41" s="16"/>
      <c r="K41" s="16"/>
      <c r="L41" s="17"/>
      <c r="M41" s="18"/>
      <c r="N41" s="19"/>
      <c r="O41" s="19"/>
      <c r="P41" s="20"/>
      <c r="Q41" s="20"/>
    </row>
    <row r="42" spans="1:17" x14ac:dyDescent="0.25">
      <c r="J42" s="17"/>
      <c r="K42" s="52"/>
      <c r="L42" s="17"/>
      <c r="M42" s="18"/>
      <c r="N42" s="19"/>
      <c r="O42" s="19"/>
      <c r="P42" s="15"/>
      <c r="Q42" s="15"/>
    </row>
    <row r="43" spans="1:17" x14ac:dyDescent="0.25">
      <c r="J43" s="17"/>
      <c r="K43" s="52"/>
      <c r="L43" s="17"/>
      <c r="M43" s="18"/>
      <c r="N43" s="19"/>
      <c r="O43" s="19"/>
      <c r="P43" s="15"/>
      <c r="Q43" s="15"/>
    </row>
    <row r="44" spans="1:17" x14ac:dyDescent="0.25">
      <c r="J44" s="53"/>
      <c r="K44" s="51"/>
      <c r="L44" s="17"/>
      <c r="M44" s="18"/>
      <c r="N44" s="19"/>
      <c r="O44" s="19"/>
      <c r="P44" s="15"/>
      <c r="Q44" s="15"/>
    </row>
    <row r="45" spans="1:17" x14ac:dyDescent="0.25">
      <c r="J45" s="16"/>
      <c r="K45" s="51"/>
      <c r="L45" s="17"/>
      <c r="M45" s="18"/>
      <c r="N45" s="19"/>
      <c r="O45" s="19"/>
      <c r="P45" s="20"/>
      <c r="Q45" s="20"/>
    </row>
  </sheetData>
  <sheetProtection sheet="1" objects="1" scenarios="1"/>
  <mergeCells count="5">
    <mergeCell ref="A29:B29"/>
    <mergeCell ref="A5:B5"/>
    <mergeCell ref="D6:F6"/>
    <mergeCell ref="A25:B25"/>
    <mergeCell ref="D5:F5"/>
  </mergeCells>
  <dataValidations count="2">
    <dataValidation type="list" allowBlank="1" showInputMessage="1" showErrorMessage="1" sqref="D6">
      <formula1>$H$5:$H$35</formula1>
    </dataValidation>
    <dataValidation type="list" allowBlank="1" showInputMessage="1" showErrorMessage="1" sqref="F7">
      <formula1>$I$3:$I$4</formula1>
    </dataValidation>
  </dataValidations>
  <hyperlinks>
    <hyperlink ref="B38" r:id="rId1"/>
    <hyperlink ref="B39" r:id="rId2"/>
  </hyperlinks>
  <pageMargins left="0.7" right="0.7" top="0.75" bottom="0.75" header="0.3" footer="0.3"/>
  <pageSetup scale="74" orientation="landscape" verticalDpi="2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C32" sqref="C32"/>
    </sheetView>
  </sheetViews>
  <sheetFormatPr defaultRowHeight="15" x14ac:dyDescent="0.25"/>
  <cols>
    <col min="1" max="1" width="47" style="31" bestFit="1" customWidth="1"/>
    <col min="2" max="3" width="10.5703125" style="31" bestFit="1" customWidth="1"/>
    <col min="4" max="4" width="9.140625" style="31"/>
    <col min="5" max="5" width="9" style="31" bestFit="1" customWidth="1"/>
    <col min="6" max="6" width="11" style="31" customWidth="1"/>
    <col min="7" max="7" width="9.140625" style="31"/>
    <col min="8" max="8" width="8.7109375" style="60" bestFit="1" customWidth="1"/>
    <col min="9" max="9" width="8.5703125" style="60" bestFit="1" customWidth="1"/>
    <col min="10" max="16384" width="9.140625" style="31"/>
  </cols>
  <sheetData>
    <row r="1" spans="1:10" x14ac:dyDescent="0.25">
      <c r="A1" s="31" t="s">
        <v>88</v>
      </c>
    </row>
    <row r="2" spans="1:10" x14ac:dyDescent="0.25">
      <c r="B2" s="75" t="s">
        <v>91</v>
      </c>
      <c r="C2" s="75"/>
      <c r="E2" s="75" t="s">
        <v>51</v>
      </c>
      <c r="F2" s="75"/>
      <c r="H2" s="75" t="s">
        <v>152</v>
      </c>
      <c r="I2" s="75"/>
    </row>
    <row r="3" spans="1:10" x14ac:dyDescent="0.25">
      <c r="B3" s="31" t="s">
        <v>69</v>
      </c>
      <c r="C3" s="31" t="s">
        <v>70</v>
      </c>
      <c r="E3" s="31" t="s">
        <v>69</v>
      </c>
      <c r="F3" s="31" t="s">
        <v>70</v>
      </c>
      <c r="H3" s="31" t="s">
        <v>69</v>
      </c>
      <c r="I3" s="31" t="s">
        <v>70</v>
      </c>
    </row>
    <row r="4" spans="1:10" x14ac:dyDescent="0.25">
      <c r="A4" s="31" t="s">
        <v>65</v>
      </c>
    </row>
    <row r="5" spans="1:10" x14ac:dyDescent="0.25">
      <c r="A5" s="31" t="s">
        <v>66</v>
      </c>
      <c r="B5" s="32">
        <f>Assumptions!G22*Assumptions!G21</f>
        <v>12.739319999999999</v>
      </c>
      <c r="C5" s="32">
        <f>IF(Assumptions!$F$7=$B$2,Budget!B5/Assumptions!$G$30,B5/48)</f>
        <v>0.26540249999999999</v>
      </c>
      <c r="E5" s="32">
        <f>Assumptions!G22*Assumptions!G21</f>
        <v>12.739319999999999</v>
      </c>
      <c r="F5" s="32">
        <f>IF(Assumptions!$F$7=Budget!$E$2,Budget!E5/Assumptions!$G$30,E5/15)</f>
        <v>0.84928799999999993</v>
      </c>
      <c r="H5" s="61">
        <f>Assumptions!G22*Assumptions!G21</f>
        <v>12.739319999999999</v>
      </c>
      <c r="I5" s="61">
        <f>H5/Assumptions!$B$24</f>
        <v>1.7919976799999999</v>
      </c>
    </row>
    <row r="6" spans="1:10" x14ac:dyDescent="0.25">
      <c r="A6" s="31" t="s">
        <v>68</v>
      </c>
      <c r="B6" s="32">
        <f>(Assumptions!G16*Assumptions!G20)/(Assumptions!G17*Assumptions!G18)</f>
        <v>1.2593749999999999</v>
      </c>
      <c r="C6" s="32">
        <f>IF(Assumptions!$F$7=$B$2,Budget!B6/Assumptions!$G$30,B6/48)</f>
        <v>2.6236979166666664E-2</v>
      </c>
      <c r="E6" s="32">
        <f>(Assumptions!G16*Assumptions!G20)/(Assumptions!G17*Assumptions!G18)</f>
        <v>1.2593749999999999</v>
      </c>
      <c r="F6" s="32">
        <f>IF(Assumptions!$F$7=Budget!$E$2,E6/Assumptions!$G$30,E6/15)</f>
        <v>8.3958333333333329E-2</v>
      </c>
      <c r="H6" s="61">
        <f>(Assumptions!G16*Assumptions!G20)/(Assumptions!G17*Assumptions!G18)</f>
        <v>1.2593749999999999</v>
      </c>
      <c r="I6" s="61">
        <f>H6/Assumptions!$B$24</f>
        <v>0.17715208333333332</v>
      </c>
    </row>
    <row r="7" spans="1:10" x14ac:dyDescent="0.25">
      <c r="A7" s="31" t="s">
        <v>67</v>
      </c>
      <c r="B7" s="32">
        <f>Assumptions!G24</f>
        <v>9.6</v>
      </c>
      <c r="C7" s="32">
        <f>IF(Assumptions!$F$7=$B$2,(1.1*B7)/Assumptions!$G$30,(1.1*B7)/48)</f>
        <v>0.22</v>
      </c>
      <c r="E7" s="32">
        <f>Assumptions!G24</f>
        <v>9.6</v>
      </c>
      <c r="F7" s="32">
        <f>IF(Assumptions!$F$7=Budget!$E$2,(1.1*E7)/Assumptions!$G$30,(1.1*E7)/15)</f>
        <v>0.70400000000000007</v>
      </c>
      <c r="H7" s="61">
        <f>Assumptions!G24</f>
        <v>9.6</v>
      </c>
      <c r="I7" s="61">
        <f>H7/Assumptions!$B$24</f>
        <v>1.3503999999999998</v>
      </c>
    </row>
    <row r="8" spans="1:10" x14ac:dyDescent="0.25">
      <c r="A8" s="31" t="s">
        <v>71</v>
      </c>
      <c r="B8" s="32">
        <f>SUM(B5:B7)</f>
        <v>23.598694999999999</v>
      </c>
      <c r="C8" s="32">
        <f>SUM(C5:C7)</f>
        <v>0.51163947916666663</v>
      </c>
      <c r="E8" s="32">
        <f>SUM(E5:E7)</f>
        <v>23.598694999999999</v>
      </c>
      <c r="F8" s="32">
        <f>SUM(F5:F7)</f>
        <v>1.6372463333333334</v>
      </c>
      <c r="H8" s="32">
        <f>SUM(H5:H7)</f>
        <v>23.598694999999999</v>
      </c>
      <c r="I8" s="61">
        <f>H8/Assumptions!$B$24</f>
        <v>3.3195497633333333</v>
      </c>
      <c r="J8" s="34"/>
    </row>
    <row r="9" spans="1:10" x14ac:dyDescent="0.25">
      <c r="A9" s="31" t="s">
        <v>77</v>
      </c>
      <c r="B9" s="32">
        <f>IF(Assumptions!D6=Assumptions!H5,0,(((Assumptions!G16-(Assumptions!G16*Assumptions!G19))*(opernote/(1-((1+opernote)^-Assumptions!G18))))+((Assumptions!G16*Assumptions!G19)*opernote))/((Assumptions!G17)))</f>
        <v>7.7089538321077953</v>
      </c>
      <c r="C9" s="32">
        <f>IF(Assumptions!$F$7=$B$2,B9/Assumptions!$G$30,B9/48)</f>
        <v>0.16060320483557908</v>
      </c>
      <c r="E9" s="32">
        <f>IF(Assumptions!D6=Assumptions!H5,0,(((Assumptions!G16-(Assumptions!G16*Assumptions!G19))*(opernote/(1-((1+opernote)^-Assumptions!G18))))+((Assumptions!G16*Assumptions!G19)*opernote))/((Assumptions!G17)))</f>
        <v>7.7089538321077953</v>
      </c>
      <c r="F9" s="32">
        <f>IF(Assumptions!$F$7=Budget!$E$2,E9/Assumptions!$G$30,E9/15)</f>
        <v>0.51393025547385307</v>
      </c>
      <c r="H9" s="61">
        <f>IF(Assumptions!D6=Assumptions!H5,0,(((Assumptions!G16-(Assumptions!G16*Assumptions!G19))*(opernote/(1-((1+opernote)^-Assumptions!G18))))+((Assumptions!G16*Assumptions!G19)*opernote))/((Assumptions!G17)))</f>
        <v>7.7089538321077953</v>
      </c>
      <c r="I9" s="61">
        <f>H9/Assumptions!$B$24</f>
        <v>1.0843928390498299</v>
      </c>
    </row>
    <row r="10" spans="1:10" x14ac:dyDescent="0.25">
      <c r="B10" s="32"/>
      <c r="C10" s="32"/>
      <c r="E10" s="32"/>
      <c r="F10" s="32"/>
      <c r="H10" s="61"/>
      <c r="I10" s="61"/>
    </row>
    <row r="11" spans="1:10" x14ac:dyDescent="0.25">
      <c r="A11" s="31" t="s">
        <v>72</v>
      </c>
      <c r="B11" s="32"/>
      <c r="C11" s="32"/>
      <c r="E11" s="32"/>
      <c r="F11" s="32"/>
      <c r="H11" s="61"/>
      <c r="I11" s="61"/>
    </row>
    <row r="12" spans="1:10" x14ac:dyDescent="0.25">
      <c r="A12" s="31" t="s">
        <v>73</v>
      </c>
      <c r="B12" s="32">
        <f>((50/48)^-1)*Assumptions!G23</f>
        <v>3.1679999999999997</v>
      </c>
      <c r="C12" s="32">
        <f>IF(Assumptions!$F$7=Budget!$B$2,B12/Assumptions!$G$30,B12/48)</f>
        <v>6.5999999999999989E-2</v>
      </c>
      <c r="E12" s="32">
        <v>0</v>
      </c>
      <c r="F12" s="32">
        <f>IF(Assumptions!$F$7=Budget!$E$2,E12/Assumptions!$G$30,E12/15)</f>
        <v>0</v>
      </c>
      <c r="H12" s="61">
        <v>0</v>
      </c>
      <c r="I12" s="61">
        <v>0</v>
      </c>
    </row>
    <row r="13" spans="1:10" x14ac:dyDescent="0.25">
      <c r="A13" s="31" t="s">
        <v>68</v>
      </c>
      <c r="B13" s="32">
        <f>IF(B2=Assumptions!F7,(Assumptions!F9*Assumptions!G25)/(Assumptions!G27*Assumptions!G28),(Assumptions!F9*Assumptions!G25)/((Assumptions!B15/7.5)*Assumptions!G28))</f>
        <v>2.0833333333333335</v>
      </c>
      <c r="C13" s="32">
        <f>IF(Assumptions!$F$7=Budget!$B$2,B13/Assumptions!$G$30,B13/48)</f>
        <v>4.3402777777777783E-2</v>
      </c>
      <c r="E13" s="32">
        <f>IF(E2=Assumptions!F7,(Assumptions!F8*Assumptions!G25)/(Assumptions!G27*Assumptions!G28),(Assumptions!F8*Assumptions!G25)/(((Assumptions!B15)/3.75)*Assumptions!G28))</f>
        <v>0.78125</v>
      </c>
      <c r="F13" s="32">
        <f>IF(Assumptions!$F$7=Budget!$E$2,E13/Assumptions!$G$30,E13/15)</f>
        <v>5.2083333333333336E-2</v>
      </c>
      <c r="H13" s="61">
        <v>0</v>
      </c>
      <c r="I13" s="61">
        <v>0</v>
      </c>
    </row>
    <row r="14" spans="1:10" x14ac:dyDescent="0.25">
      <c r="A14" s="31" t="s">
        <v>74</v>
      </c>
      <c r="B14" s="32">
        <f>IF(Assumptions!F7=B2,((Assumptions!G29/35)*Assumptions!G30),((Assumptions!G29/35)*48))</f>
        <v>122.05714285714285</v>
      </c>
      <c r="C14" s="32">
        <f>IF(Assumptions!$F$7=Budget!$B$2,B14/Assumptions!$G$30,B14/48)</f>
        <v>2.5428571428571427</v>
      </c>
      <c r="E14" s="32">
        <f>IF(Assumptions!F7=E2,((Assumptions!G29/22.5)*Assumptions!G30),((Assumptions!G29/22.5)*15))</f>
        <v>59.333333333333336</v>
      </c>
      <c r="F14" s="32">
        <f>IF(Assumptions!$F$7=Budget!$E$2,E14/Assumptions!$G$30,E14/15)</f>
        <v>3.9555555555555557</v>
      </c>
      <c r="H14" s="61">
        <v>0</v>
      </c>
      <c r="I14" s="61">
        <v>0</v>
      </c>
    </row>
    <row r="15" spans="1:10" x14ac:dyDescent="0.25">
      <c r="A15" s="31" t="s">
        <v>75</v>
      </c>
      <c r="B15" s="32">
        <v>0</v>
      </c>
      <c r="C15" s="32">
        <v>0</v>
      </c>
      <c r="D15" s="33">
        <f>C16+C8</f>
        <v>3.1638993998015872</v>
      </c>
      <c r="E15" s="32">
        <f>Assumptions!G24</f>
        <v>9.6</v>
      </c>
      <c r="F15" s="32">
        <f>IF(Assumptions!$F$7=Budget!$E$2,(1.1*E15)/Assumptions!$G$30,(1.1*E15)/15)</f>
        <v>0.70400000000000007</v>
      </c>
      <c r="G15" s="33">
        <f>F16+F8</f>
        <v>6.3488852222222221</v>
      </c>
      <c r="H15" s="61">
        <v>0</v>
      </c>
      <c r="I15" s="61">
        <v>0</v>
      </c>
    </row>
    <row r="16" spans="1:10" x14ac:dyDescent="0.25">
      <c r="A16" s="31" t="s">
        <v>76</v>
      </c>
      <c r="B16" s="32">
        <f>SUM(B12:B15)</f>
        <v>127.30847619047618</v>
      </c>
      <c r="C16" s="32">
        <f>SUM(C12:C15)</f>
        <v>2.6522599206349207</v>
      </c>
      <c r="D16" s="34"/>
      <c r="E16" s="32">
        <f>SUM(E12:E15)</f>
        <v>69.714583333333337</v>
      </c>
      <c r="F16" s="32">
        <f>SUM(F12:F15)</f>
        <v>4.7116388888888885</v>
      </c>
      <c r="H16" s="61">
        <v>0</v>
      </c>
      <c r="I16" s="61">
        <v>0</v>
      </c>
    </row>
    <row r="17" spans="1:10" x14ac:dyDescent="0.25">
      <c r="A17" s="31" t="s">
        <v>78</v>
      </c>
      <c r="B17" s="32">
        <f>IF(B2=Assumptions!F7,(((Assumptions!F9-(Assumptions!F9*Assumptions!G26))*(opernote/(1-((1+opernote)^-Assumptions!G28))))+((Assumptions!F9*Assumptions!G26)*opernote))/((Assumptions!G27)),(((Assumptions!F9-(Assumptions!F9*Assumptions!G26))*(opernote/(1-((1+opernote)^-Assumptions!G28))))+((Assumptions!F9*Assumptions!G26)*opernote))/(((Assumptions!B15)/7.5)))</f>
        <v>56.972235378022496</v>
      </c>
      <c r="C17" s="32">
        <f>IF(Assumptions!$F$7=Budget!$B$2,B17/Assumptions!$G$30,B17/48)</f>
        <v>1.1869215703754687</v>
      </c>
      <c r="E17" s="32">
        <f>IF(E2=Assumptions!F7,(((Assumptions!F8-(Assumptions!F8*Assumptions!G26))*(opernote/(1-((1+opernote)^-Assumptions!G28))))+((Assumptions!F8*Assumptions!G26)*opernote))/((Assumptions!G27)),(((Assumptions!F8-(Assumptions!F8*Assumptions!G26))*(opernote/(1-((1+opernote)^-Assumptions!G28))))+((Assumptions!F8*Assumptions!G26)*opernote))/(((Assumptions!B15/3.75))))</f>
        <v>21.364588266758432</v>
      </c>
      <c r="F17" s="32">
        <f>IF(Assumptions!$F$7=Budget!$E$2,E17/Assumptions!$G$30,E17/15)</f>
        <v>1.4243058844505621</v>
      </c>
      <c r="H17" s="61">
        <v>0</v>
      </c>
      <c r="I17" s="61">
        <v>0</v>
      </c>
    </row>
    <row r="18" spans="1:10" x14ac:dyDescent="0.25">
      <c r="B18" s="32"/>
      <c r="C18" s="32"/>
      <c r="E18" s="32"/>
      <c r="F18" s="32"/>
      <c r="H18" s="61"/>
      <c r="I18" s="61"/>
    </row>
    <row r="19" spans="1:10" x14ac:dyDescent="0.25">
      <c r="A19" s="31" t="s">
        <v>154</v>
      </c>
      <c r="B19" s="32">
        <f>B17+B9+B8+B16</f>
        <v>215.58836040060646</v>
      </c>
      <c r="C19" s="32">
        <f>C16+C17+C8+C9</f>
        <v>4.5114241750126354</v>
      </c>
      <c r="D19" s="34"/>
      <c r="E19" s="32">
        <f>E17+E9+E8+E16</f>
        <v>122.38682043219956</v>
      </c>
      <c r="F19" s="32">
        <f>F16+F17+F8+F9</f>
        <v>8.2871213621466371</v>
      </c>
      <c r="H19" s="61">
        <v>0</v>
      </c>
      <c r="I19" s="61">
        <v>0</v>
      </c>
    </row>
    <row r="20" spans="1:10" x14ac:dyDescent="0.25">
      <c r="B20" s="32"/>
      <c r="C20" s="32"/>
      <c r="E20" s="32"/>
      <c r="F20" s="32"/>
      <c r="H20" s="61"/>
      <c r="I20" s="61"/>
    </row>
    <row r="21" spans="1:10" x14ac:dyDescent="0.25">
      <c r="A21" s="31" t="s">
        <v>92</v>
      </c>
      <c r="B21" s="32"/>
      <c r="C21" s="32"/>
      <c r="E21" s="32"/>
      <c r="F21" s="32"/>
      <c r="H21" s="61"/>
      <c r="I21" s="61"/>
    </row>
    <row r="22" spans="1:10" x14ac:dyDescent="0.25">
      <c r="A22" s="31" t="s">
        <v>93</v>
      </c>
      <c r="B22" s="34">
        <f>((Assumptions!B27*0.9)/(8*200))+B5+B6+9.6</f>
        <v>44.129944999999999</v>
      </c>
      <c r="C22" s="32">
        <f>(((Assumptions!B27*0.9)/(8*200))+B5+B6+(9.6*1.1))/Assumptions!C21</f>
        <v>3.1713261316666665</v>
      </c>
      <c r="E22" s="34">
        <f>((Assumptions!B27*0.9)/(8*200))+E5+E6+9.6</f>
        <v>44.129944999999999</v>
      </c>
      <c r="F22" s="32">
        <f>(((Assumptions!B27*0.9)/(8*200))+E5+E6+(9.6*1.1))/Assumptions!C21</f>
        <v>3.1713261316666665</v>
      </c>
      <c r="H22" s="61">
        <f>((Assumptions!B26*0.9)/(8*200))+H8</f>
        <v>41.317444999999999</v>
      </c>
      <c r="I22" s="61">
        <f>(((Assumptions!B26*0.9)/(8*200))+H5+H6+(9.6*1.1))/Assumptions!B24</f>
        <v>5.9470272633333332</v>
      </c>
      <c r="J22" s="34"/>
    </row>
    <row r="23" spans="1:10" x14ac:dyDescent="0.25">
      <c r="A23" s="31" t="s">
        <v>94</v>
      </c>
      <c r="B23" s="35">
        <f>B9+(((Assumptions!B27-(Assumptions!B27*0.15))*(opernote/(1-((1+opernote)^-8))))+((Assumptions!B27*0.15)*opernote))/(200)</f>
        <v>33.390499910413546</v>
      </c>
      <c r="C23" s="32">
        <f>B23/Assumptions!C21</f>
        <v>2.3484651603657527</v>
      </c>
      <c r="D23" s="34"/>
      <c r="E23" s="35">
        <f>E9+(((Assumptions!B27-(Assumptions!B27*0.15))*(opernote/(1-((1+opernote)^-8))))+((Assumptions!B27*0.15)*opernote))/(200)</f>
        <v>33.390499910413546</v>
      </c>
      <c r="F23" s="32">
        <f>E23/Assumptions!C21</f>
        <v>2.3484651603657527</v>
      </c>
      <c r="H23" s="61">
        <f>H9+(((Assumptions!B26-(Assumptions!B26*0.15))*(opernote/(1-((1+opernote)^-8))))+((Assumptions!B26*0.15)*opernote))/(200)</f>
        <v>29.872479899686727</v>
      </c>
      <c r="I23" s="61">
        <f>H23/Assumptions!B24</f>
        <v>4.2020621725559328</v>
      </c>
      <c r="J23" s="34"/>
    </row>
    <row r="24" spans="1:10" x14ac:dyDescent="0.25">
      <c r="A24" s="31" t="s">
        <v>95</v>
      </c>
      <c r="B24" s="34">
        <f>SUM(B22:B23)</f>
        <v>77.520444910413545</v>
      </c>
      <c r="C24" s="32">
        <f>C23+C22</f>
        <v>5.5197912920324192</v>
      </c>
      <c r="E24" s="34">
        <f>SUM(E22:E23)</f>
        <v>77.520444910413545</v>
      </c>
      <c r="F24" s="32">
        <f>F23+F22</f>
        <v>5.5197912920324192</v>
      </c>
      <c r="G24" s="34"/>
      <c r="H24" s="34">
        <f>SUM(H22:H23)</f>
        <v>71.18992489968673</v>
      </c>
      <c r="I24" s="32">
        <f>I23+I22</f>
        <v>10.149089435889266</v>
      </c>
      <c r="J24" s="34"/>
    </row>
    <row r="25" spans="1:10" x14ac:dyDescent="0.25">
      <c r="B25" s="34"/>
      <c r="H25" s="61"/>
      <c r="I25" s="61"/>
    </row>
    <row r="26" spans="1:10" x14ac:dyDescent="0.25">
      <c r="A26" s="31" t="s">
        <v>179</v>
      </c>
      <c r="B26" s="34">
        <f>B24+B19</f>
        <v>293.10880531101998</v>
      </c>
      <c r="C26" s="34">
        <f>C24+C19</f>
        <v>10.031215467045055</v>
      </c>
      <c r="E26" s="34">
        <f>E24+E19</f>
        <v>199.9072653426131</v>
      </c>
      <c r="F26" s="34">
        <f>F24+F19</f>
        <v>13.806912654179056</v>
      </c>
      <c r="H26" s="34">
        <f>H24+H19</f>
        <v>71.18992489968673</v>
      </c>
      <c r="I26" s="34">
        <f>I24+I19</f>
        <v>10.149089435889266</v>
      </c>
      <c r="J26" s="34"/>
    </row>
    <row r="27" spans="1:10" x14ac:dyDescent="0.25">
      <c r="B27" s="34"/>
      <c r="C27" s="34"/>
      <c r="F27" s="34"/>
      <c r="I27" s="49"/>
    </row>
    <row r="28" spans="1:10" x14ac:dyDescent="0.25">
      <c r="A28" s="31" t="s">
        <v>155</v>
      </c>
      <c r="C28" s="34"/>
      <c r="D28" s="34"/>
    </row>
    <row r="29" spans="1:10" x14ac:dyDescent="0.25">
      <c r="A29" s="71" t="s">
        <v>184</v>
      </c>
      <c r="D29" s="34"/>
    </row>
    <row r="30" spans="1:10" x14ac:dyDescent="0.25">
      <c r="A30" s="31" t="str">
        <f>IF(C24&gt;I24,"and the fact a round baler able to handle higher moisture levels is not needed. The costs of $"&amp;ROUND(C19,2)&amp;" or $"&amp;ROUND(F19,2)&amp;" per bale depending","and the fact a round baler able to handle higher moisture levels is used. The costs of $"&amp;ROUND(C19,2)&amp;" or $"&amp;ROUND(F19,2)&amp;" per bale depending")</f>
        <v>and the fact a round baler able to handle higher moisture levels is used. The costs of $4.51 or $8.29 per bale depending</v>
      </c>
      <c r="D30" s="34"/>
    </row>
    <row r="31" spans="1:10" x14ac:dyDescent="0.25">
      <c r="A31" s="31" t="str">
        <f>"upon the wrapping system chosen are costs incurred by the operation, but do not reflect the decreased supplementation costs"</f>
        <v>upon the wrapping system chosen are costs incurred by the operation, but do not reflect the decreased supplementation costs</v>
      </c>
    </row>
    <row r="32" spans="1:10" x14ac:dyDescent="0.25">
      <c r="A32" s="31" t="str">
        <f>"that can occur as a result of using baleage during winter feeding periods. Any reduction in supplementation costs that would occur"</f>
        <v>that can occur as a result of using baleage during winter feeding periods. Any reduction in supplementation costs that would occur</v>
      </c>
      <c r="B32" s="32"/>
    </row>
    <row r="33" spans="1:10" x14ac:dyDescent="0.25">
      <c r="A33" s="31" t="str">
        <f>"would reduce the actual out-of-pocket costs experienced by the operation than what is shown above."</f>
        <v>would reduce the actual out-of-pocket costs experienced by the operation than what is shown above.</v>
      </c>
    </row>
    <row r="36" spans="1:10" x14ac:dyDescent="0.25">
      <c r="G36" s="60"/>
    </row>
    <row r="37" spans="1:10" x14ac:dyDescent="0.25">
      <c r="J37" s="72"/>
    </row>
    <row r="38" spans="1:10" x14ac:dyDescent="0.25">
      <c r="I38" s="70"/>
    </row>
    <row r="39" spans="1:10" x14ac:dyDescent="0.25">
      <c r="J39" s="72"/>
    </row>
  </sheetData>
  <sheetProtection sheet="1" objects="1" scenarios="1"/>
  <mergeCells count="3">
    <mergeCell ref="E2:F2"/>
    <mergeCell ref="B2:C2"/>
    <mergeCell ref="H2:I2"/>
  </mergeCells>
  <pageMargins left="0.7" right="0.7" top="0.75" bottom="0.75" header="0.3" footer="0.3"/>
  <pageSetup scale="99" fitToHeight="0" orientation="landscape" verticalDpi="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topLeftCell="A82" zoomScale="90" zoomScaleNormal="90" workbookViewId="0">
      <selection activeCell="A88" sqref="A88"/>
    </sheetView>
  </sheetViews>
  <sheetFormatPr defaultRowHeight="15" x14ac:dyDescent="0.25"/>
  <cols>
    <col min="1" max="1" width="57.140625" style="31" bestFit="1" customWidth="1"/>
    <col min="2" max="2" width="24.28515625" style="31" bestFit="1" customWidth="1"/>
    <col min="3" max="3" width="22.85546875" style="31" bestFit="1" customWidth="1"/>
    <col min="4" max="4" width="34.140625" style="31" bestFit="1" customWidth="1"/>
    <col min="5" max="5" width="31.5703125" style="31" bestFit="1" customWidth="1"/>
    <col min="6" max="6" width="35" style="31" bestFit="1" customWidth="1"/>
    <col min="7" max="7" width="13" style="31" bestFit="1" customWidth="1"/>
    <col min="8" max="16384" width="9.140625" style="31"/>
  </cols>
  <sheetData>
    <row r="1" spans="1:6" x14ac:dyDescent="0.25">
      <c r="B1" s="36" t="s">
        <v>147</v>
      </c>
      <c r="C1" s="36" t="s">
        <v>91</v>
      </c>
      <c r="D1" s="36" t="s">
        <v>51</v>
      </c>
      <c r="E1" s="36" t="s">
        <v>97</v>
      </c>
      <c r="F1" s="36" t="s">
        <v>98</v>
      </c>
    </row>
    <row r="2" spans="1:6" x14ac:dyDescent="0.25">
      <c r="A2" s="31" t="s">
        <v>96</v>
      </c>
      <c r="B2" s="34">
        <f>Assumptions!$B$16</f>
        <v>525</v>
      </c>
      <c r="C2" s="34">
        <f>Assumptions!$B$16+(Assumptions!C23*Budget!D15)</f>
        <v>553.47509459821424</v>
      </c>
      <c r="D2" s="34">
        <f>Assumptions!$B$16+(Assumptions!C23*Budget!G15)</f>
        <v>582.13996699999996</v>
      </c>
      <c r="E2" s="34">
        <f>-(C2-B2)</f>
        <v>-28.475094598214241</v>
      </c>
      <c r="F2" s="34">
        <f>-(D2-B2)</f>
        <v>-57.139966999999956</v>
      </c>
    </row>
    <row r="3" spans="1:6" x14ac:dyDescent="0.25">
      <c r="A3" s="31" t="s">
        <v>139</v>
      </c>
      <c r="B3" s="34">
        <f>B2/(Assumptions!C22/2000)</f>
        <v>116.66666666666667</v>
      </c>
      <c r="C3" s="34">
        <f>C2/(Assumptions!C22/2000)</f>
        <v>122.99446546626983</v>
      </c>
      <c r="D3" s="34">
        <f>D2/(Assumptions!C22/2000)</f>
        <v>129.3644371111111</v>
      </c>
      <c r="E3" s="34">
        <f>-(C3-B3)</f>
        <v>-6.3277987996031584</v>
      </c>
      <c r="F3" s="34">
        <f>-(D3-B3)</f>
        <v>-12.69777044444443</v>
      </c>
    </row>
    <row r="4" spans="1:6" x14ac:dyDescent="0.25">
      <c r="A4" s="31" t="s">
        <v>183</v>
      </c>
      <c r="B4" s="34">
        <f>B2/(Assumptions!C24*(Assumptions!B32/2000))</f>
        <v>99.166666666666671</v>
      </c>
      <c r="C4" s="34">
        <f>C2/(Assumptions!C23)</f>
        <v>61.497232733134915</v>
      </c>
      <c r="D4" s="34">
        <f>D2/(Assumptions!C23)</f>
        <v>64.682218555555551</v>
      </c>
      <c r="E4" s="34">
        <f>-(C4-B4)</f>
        <v>37.669433933531757</v>
      </c>
      <c r="F4" s="34">
        <f>-(D4-B4)</f>
        <v>34.484448111111121</v>
      </c>
    </row>
    <row r="5" spans="1:6" x14ac:dyDescent="0.25">
      <c r="A5" s="31" t="s">
        <v>150</v>
      </c>
      <c r="B5" s="34">
        <f>B3*Assumptions!C11</f>
        <v>210</v>
      </c>
      <c r="C5" s="34">
        <f>C3*Assumptions!C11</f>
        <v>221.3900378392857</v>
      </c>
      <c r="D5" s="34">
        <f>D3*Assumptions!C11</f>
        <v>232.85598679999998</v>
      </c>
      <c r="E5" s="34">
        <f>-(C5-B5)</f>
        <v>-11.390037839285696</v>
      </c>
      <c r="F5" s="34">
        <f>-(D5-B5)</f>
        <v>-22.855986799999982</v>
      </c>
    </row>
    <row r="6" spans="1:6" x14ac:dyDescent="0.25">
      <c r="A6" s="31" t="s">
        <v>151</v>
      </c>
      <c r="B6" s="34">
        <f>(Assumptions!C11/(1-Assumptions!B30)*B3)</f>
        <v>280</v>
      </c>
      <c r="C6" s="34">
        <f>(Assumptions!C11/(1-Assumptions!B31)*C3)</f>
        <v>233.04214509398494</v>
      </c>
      <c r="D6" s="34">
        <f>(Assumptions!C11/(1-Assumptions!B31))*D3</f>
        <v>245.11156505263156</v>
      </c>
      <c r="E6" s="34">
        <f>-(C6-B6)</f>
        <v>46.957854906015058</v>
      </c>
      <c r="F6" s="34">
        <f>-(D6-B6)</f>
        <v>34.888434947368438</v>
      </c>
    </row>
    <row r="7" spans="1:6" x14ac:dyDescent="0.25">
      <c r="A7" s="34"/>
      <c r="B7" s="34"/>
    </row>
    <row r="8" spans="1:6" x14ac:dyDescent="0.25">
      <c r="E8" s="34"/>
    </row>
    <row r="9" spans="1:6" x14ac:dyDescent="0.25">
      <c r="A9" s="31" t="s">
        <v>100</v>
      </c>
      <c r="B9" s="37">
        <f>-PMT(Assumptions!$F$10,Assumptions!$F$11,Assumptions!B26,0,0)</f>
        <v>7326.0594793465552</v>
      </c>
      <c r="C9" s="34"/>
    </row>
    <row r="10" spans="1:6" x14ac:dyDescent="0.25">
      <c r="A10" s="31" t="s">
        <v>99</v>
      </c>
      <c r="B10" s="37">
        <f>-PMT(Assumptions!$F$10,Assumptions!$F$11,Assumptions!B27,0,0)</f>
        <v>8488.9260633698195</v>
      </c>
      <c r="C10" s="34"/>
    </row>
    <row r="11" spans="1:6" x14ac:dyDescent="0.25">
      <c r="A11" s="31" t="s">
        <v>101</v>
      </c>
      <c r="B11" s="37">
        <f>-PMT(Assumptions!$F$10,Assumptions!$F$11,Assumptions!F9,0,0)</f>
        <v>6977.1995041395767</v>
      </c>
      <c r="C11" s="37"/>
    </row>
    <row r="12" spans="1:6" x14ac:dyDescent="0.25">
      <c r="A12" s="31" t="s">
        <v>102</v>
      </c>
      <c r="B12" s="37">
        <f>-PMT(Assumptions!$F$10,Assumptions!$F$11,Assumptions!F8,0,0)</f>
        <v>5232.899628104683</v>
      </c>
      <c r="C12" s="37"/>
    </row>
    <row r="14" spans="1:6" x14ac:dyDescent="0.25">
      <c r="A14" s="31" t="s">
        <v>108</v>
      </c>
      <c r="B14" s="36" t="s">
        <v>91</v>
      </c>
      <c r="C14" s="36" t="s">
        <v>51</v>
      </c>
    </row>
    <row r="15" spans="1:6" x14ac:dyDescent="0.25">
      <c r="A15" s="31" t="s">
        <v>109</v>
      </c>
      <c r="B15" s="31">
        <f>ROUND((B10+B11-B9)/E6*1,0)</f>
        <v>173</v>
      </c>
      <c r="C15">
        <f>ROUND((B10+B12-B9)/F6*1,0)</f>
        <v>183</v>
      </c>
    </row>
    <row r="17" spans="1:4" x14ac:dyDescent="0.25">
      <c r="B17" s="31" t="s">
        <v>117</v>
      </c>
      <c r="C17" s="31" t="s">
        <v>118</v>
      </c>
    </row>
    <row r="18" spans="1:4" x14ac:dyDescent="0.25">
      <c r="A18" s="31" t="s">
        <v>116</v>
      </c>
      <c r="B18" s="5">
        <v>1.26</v>
      </c>
      <c r="C18" s="5">
        <v>1.86</v>
      </c>
      <c r="D18" s="33">
        <f>C18-B18</f>
        <v>0.60000000000000009</v>
      </c>
    </row>
    <row r="19" spans="1:4" x14ac:dyDescent="0.25">
      <c r="A19" s="31" t="s">
        <v>123</v>
      </c>
      <c r="B19" s="82">
        <v>150</v>
      </c>
      <c r="C19" s="32"/>
      <c r="D19" s="34"/>
    </row>
    <row r="20" spans="1:4" x14ac:dyDescent="0.25">
      <c r="A20" s="31" t="s">
        <v>124</v>
      </c>
      <c r="B20" s="7">
        <v>0.1</v>
      </c>
      <c r="C20" s="32"/>
      <c r="D20" s="34"/>
    </row>
    <row r="22" spans="1:4" x14ac:dyDescent="0.25">
      <c r="B22" s="39" t="s">
        <v>120</v>
      </c>
      <c r="C22" s="31" t="s">
        <v>121</v>
      </c>
      <c r="D22" s="31" t="s">
        <v>125</v>
      </c>
    </row>
    <row r="23" spans="1:4" x14ac:dyDescent="0.25">
      <c r="B23" s="39" t="str">
        <f>"at $"&amp;ROUND(D18,2)&amp;"/hd savings"</f>
        <v>at $0.6/hd savings</v>
      </c>
      <c r="C23" s="31" t="s">
        <v>122</v>
      </c>
      <c r="D23" s="31" t="str">
        <f>"to Breakeven on "&amp;Assumptions!F7&amp;""</f>
        <v>to Breakeven on Individual Wrapper</v>
      </c>
    </row>
    <row r="24" spans="1:4" x14ac:dyDescent="0.25">
      <c r="A24" s="31" t="s">
        <v>119</v>
      </c>
      <c r="B24" s="39" t="str">
        <f>"for "&amp;Assumptions!F7</f>
        <v>for Individual Wrapper</v>
      </c>
      <c r="C24" s="31" t="str">
        <f>"difference at "&amp;B19&amp;" days"</f>
        <v>difference at 150 days</v>
      </c>
      <c r="D24" s="31" t="str">
        <f>"at $"&amp;ROUND(D18,2)&amp;"/head &amp; reduced losses"</f>
        <v>at $0.6/head &amp; reduced losses</v>
      </c>
    </row>
    <row r="25" spans="1:4" x14ac:dyDescent="0.25">
      <c r="A25" s="31">
        <v>25</v>
      </c>
      <c r="B25" s="40">
        <f>IF(Assumptions!$F$7="In-Line Wrapper",($B$39/$D$18)/A25,($B$56/$D$18)/A25)</f>
        <v>426.38441414186303</v>
      </c>
      <c r="C25" s="32">
        <f>IF(Assumptions!$F$7="In-Line Wrapper",($B$39/(A25*$B$19)),($B$56/($B$19*A25)))</f>
        <v>1.7055376565674523</v>
      </c>
      <c r="D25" s="31">
        <f>IF(Assumptions!$F$7="In-Line Wrapper",ROUND($B$39/(A25*(1-$B$20)),0),ROUND($B$56/(A25*(1-$B$20)),0))</f>
        <v>284</v>
      </c>
    </row>
    <row r="26" spans="1:4" x14ac:dyDescent="0.25">
      <c r="A26" s="31">
        <v>50</v>
      </c>
      <c r="B26" s="40">
        <f>IF(Assumptions!$F$7="In-Line Wrapper",($B$39/$D$18)/A26,($B$56/$D$18)/A26)</f>
        <v>213.19220707093152</v>
      </c>
      <c r="C26" s="32">
        <f>IF(Assumptions!$F$7="In-Line Wrapper",($B$39/(A26*$B$19)),($B$56/($B$19*A26)))</f>
        <v>0.85276882828372613</v>
      </c>
      <c r="D26" s="31">
        <f>IF(Assumptions!$F$7="In-Line Wrapper",ROUND($B$39/(A26*(1-$B$20)),0),ROUND($B$56/(A26*(1-$B$20)),0))</f>
        <v>142</v>
      </c>
    </row>
    <row r="27" spans="1:4" x14ac:dyDescent="0.25">
      <c r="A27" s="31">
        <v>75</v>
      </c>
      <c r="B27" s="40">
        <f>IF(Assumptions!$F$7="In-Line Wrapper",($B$39/$D$18)/A27,($B$56/$D$18)/A27)</f>
        <v>142.12813804728768</v>
      </c>
      <c r="C27" s="32">
        <f>IF(Assumptions!$F$7="In-Line Wrapper",($B$39/(A27*$B$19)),($B$56/($B$19*A27)))</f>
        <v>0.56851255218915075</v>
      </c>
      <c r="D27" s="31">
        <f>IF(Assumptions!$F$7="In-Line Wrapper",ROUND($B$39/(A27*(1-$B$20)),0),ROUND($B$56/(A27*(1-$B$20)),0))</f>
        <v>95</v>
      </c>
    </row>
    <row r="28" spans="1:4" x14ac:dyDescent="0.25">
      <c r="A28" s="31">
        <v>100</v>
      </c>
      <c r="B28" s="40">
        <f>IF(Assumptions!$F$7="In-Line Wrapper",($B$39/$D$18)/A28,($B$56/$D$18)/A28)</f>
        <v>106.59610353546576</v>
      </c>
      <c r="C28" s="32">
        <f>IF(Assumptions!$F$7="In-Line Wrapper",($B$39/(A28*$B$19)),($B$56/($B$19*A28)))</f>
        <v>0.42638441414186307</v>
      </c>
      <c r="D28" s="31">
        <f>IF(Assumptions!$F$7="In-Line Wrapper",ROUND($B$39/(A28*(1-$B$20)),0),ROUND($B$56/(A28*(1-$B$20)),0))</f>
        <v>71</v>
      </c>
    </row>
    <row r="29" spans="1:4" x14ac:dyDescent="0.25">
      <c r="A29" s="31">
        <v>125</v>
      </c>
      <c r="B29" s="40">
        <f>IF(Assumptions!$F$7="In-Line Wrapper",($B$39/$D$18)/A29,($B$56/$D$18)/A29)</f>
        <v>85.276882828372607</v>
      </c>
      <c r="C29" s="32">
        <f>IF(Assumptions!$F$7="In-Line Wrapper",($B$39/(A29*$B$19)),($B$56/($B$19*A29)))</f>
        <v>0.34110753131349048</v>
      </c>
      <c r="D29" s="31">
        <f>IF(Assumptions!$F$7="In-Line Wrapper",ROUND($B$39/(A29*(1-$B$20)),0),ROUND($B$56/(A29*(1-$B$20)),0))</f>
        <v>57</v>
      </c>
    </row>
    <row r="30" spans="1:4" x14ac:dyDescent="0.25">
      <c r="A30" s="31">
        <v>150</v>
      </c>
      <c r="B30" s="40">
        <f>IF(Assumptions!$F$7="In-Line Wrapper",($B$39/$D$18)/A30,($B$56/$D$18)/A30)</f>
        <v>71.064069023643839</v>
      </c>
      <c r="C30" s="32">
        <f>IF(Assumptions!$F$7="In-Line Wrapper",($B$39/(A30*$B$19)),($B$56/($B$19*A30)))</f>
        <v>0.28425627609457538</v>
      </c>
      <c r="D30" s="31">
        <f>IF(Assumptions!$F$7="In-Line Wrapper",ROUND($B$39/(A30*(1-$B$20)),0),ROUND($B$56/(A30*(1-$B$20)),0))</f>
        <v>47</v>
      </c>
    </row>
    <row r="31" spans="1:4" x14ac:dyDescent="0.25">
      <c r="A31" s="31">
        <v>175</v>
      </c>
      <c r="B31" s="40">
        <f>IF(Assumptions!$F$7="In-Line Wrapper",($B$39/$D$18)/A31,($B$56/$D$18)/A31)</f>
        <v>60.912059163123288</v>
      </c>
      <c r="C31" s="32">
        <f>IF(Assumptions!$F$7="In-Line Wrapper",($B$39/(A31*$B$19)),($B$56/($B$19*A31)))</f>
        <v>0.24364823665249319</v>
      </c>
      <c r="D31" s="31">
        <f>IF(Assumptions!$F$7="In-Line Wrapper",ROUND($B$39/(A31*(1-$B$20)),0),ROUND($B$56/(A31*(1-$B$20)),0))</f>
        <v>41</v>
      </c>
    </row>
    <row r="32" spans="1:4" x14ac:dyDescent="0.25">
      <c r="A32" s="31">
        <v>200</v>
      </c>
      <c r="B32" s="40">
        <f>IF(Assumptions!$F$7="In-Line Wrapper",($B$39/$D$18)/A32,($B$56/$D$18)/A32)</f>
        <v>53.298051767732879</v>
      </c>
      <c r="C32" s="32">
        <f>IF(Assumptions!$F$7="In-Line Wrapper",($B$39/(A32*$B$19)),($B$56/($B$19*A32)))</f>
        <v>0.21319220707093153</v>
      </c>
      <c r="D32" s="31">
        <f>IF(Assumptions!$F$7="In-Line Wrapper",ROUND($B$39/(A32*(1-$B$20)),0),ROUND($B$56/(A32*(1-$B$20)),0))</f>
        <v>36</v>
      </c>
    </row>
    <row r="33" spans="1:6" x14ac:dyDescent="0.25">
      <c r="A33" s="31">
        <v>225</v>
      </c>
      <c r="B33" s="40">
        <f>IF(Assumptions!$F$7="In-Line Wrapper",($B$39/$D$18)/A33,($B$56/$D$18)/A33)</f>
        <v>47.376046015762554</v>
      </c>
      <c r="C33" s="32">
        <f>IF(Assumptions!$F$7="In-Line Wrapper",($B$39/(A33*$B$19)),($B$56/($B$19*A33)))</f>
        <v>0.18950418406305025</v>
      </c>
      <c r="D33" s="31">
        <f>IF(Assumptions!$F$7="In-Line Wrapper",ROUND($B$39/(A33*(1-$B$20)),0),ROUND($B$56/(A33*(1-$B$20)),0))</f>
        <v>32</v>
      </c>
    </row>
    <row r="34" spans="1:6" x14ac:dyDescent="0.25">
      <c r="A34" s="31">
        <v>250</v>
      </c>
      <c r="B34" s="40">
        <f>IF(Assumptions!$F$7="In-Line Wrapper",($B$39/$D$18)/A34,($B$56/$D$18)/A34)</f>
        <v>42.638441414186303</v>
      </c>
      <c r="C34" s="32">
        <f>IF(Assumptions!$F$7="In-Line Wrapper",($B$39/(A34*$B$19)),($B$56/($B$19*A34)))</f>
        <v>0.17055376565674524</v>
      </c>
      <c r="D34" s="31">
        <f>IF(Assumptions!$F$7="In-Line Wrapper",ROUND($B$39/(A34*(1-$B$20)),0),ROUND($B$56/(A34*(1-$B$20)),0))</f>
        <v>28</v>
      </c>
    </row>
    <row r="35" spans="1:6" x14ac:dyDescent="0.25">
      <c r="A35" s="31">
        <v>500</v>
      </c>
      <c r="B35" s="40">
        <f>IF(Assumptions!$F$7="In-Line Wrapper",($B$39/$D$18)/A35,($B$56/$D$18)/A35)</f>
        <v>21.319220707093152</v>
      </c>
      <c r="C35" s="32">
        <f>IF(Assumptions!$F$7="In-Line Wrapper",($B$39/(A35*$B$19)),($B$56/($B$19*A35)))</f>
        <v>8.5276882828372619E-2</v>
      </c>
      <c r="D35" s="31">
        <f>IF(Assumptions!$F$7="In-Line Wrapper",ROUND($B$39/(A35*(1-$B$20)),0),ROUND($B$56/(A35*(1-$B$20)),0))</f>
        <v>14</v>
      </c>
    </row>
    <row r="36" spans="1:6" x14ac:dyDescent="0.25">
      <c r="A36" s="9">
        <v>750</v>
      </c>
      <c r="B36" s="40">
        <f>IF(Assumptions!$F$7="In-Line Wrapper",($B$39/$D$18)/A36,($B$56/$D$18)/A36)</f>
        <v>14.212813804728768</v>
      </c>
      <c r="C36" s="32">
        <f>IF(Assumptions!$F$7="In-Line Wrapper",($B$39/(A36*$B$19)),($B$56/($B$19*A36)))</f>
        <v>5.6851255218915077E-2</v>
      </c>
      <c r="D36" s="31">
        <f>IF(Assumptions!$F$7="In-Line Wrapper",ROUND($B$39/(A36*(1-$B$20)),0),ROUND($B$56/(A36*(1-$B$20)),0))</f>
        <v>9</v>
      </c>
    </row>
    <row r="39" spans="1:6" x14ac:dyDescent="0.25">
      <c r="A39" s="31" t="s">
        <v>111</v>
      </c>
      <c r="B39" s="37">
        <f>D43</f>
        <v>8140.0660881628428</v>
      </c>
    </row>
    <row r="41" spans="1:6" x14ac:dyDescent="0.25">
      <c r="B41" s="75" t="s">
        <v>91</v>
      </c>
      <c r="C41" s="75"/>
      <c r="D41" s="75"/>
      <c r="E41" s="75"/>
      <c r="F41" s="75"/>
    </row>
    <row r="42" spans="1:6" x14ac:dyDescent="0.25">
      <c r="B42" s="31" t="s">
        <v>103</v>
      </c>
      <c r="C42" s="31" t="s">
        <v>104</v>
      </c>
      <c r="D42" s="31" t="s">
        <v>105</v>
      </c>
      <c r="E42" s="31" t="s">
        <v>107</v>
      </c>
      <c r="F42" s="31" t="s">
        <v>106</v>
      </c>
    </row>
    <row r="43" spans="1:6" x14ac:dyDescent="0.25">
      <c r="B43" s="31">
        <v>25</v>
      </c>
      <c r="C43" s="34">
        <f>B43*$E$6</f>
        <v>1173.9463726503764</v>
      </c>
      <c r="D43" s="37">
        <f>-PMT(Assumptions!$F$10,Assumptions!$F$11,Assumptions!$B$27+Assumptions!$F$9,0,0)-$B$9</f>
        <v>8140.0660881628428</v>
      </c>
      <c r="E43" s="37">
        <f>D43-C43</f>
        <v>6966.1197155124664</v>
      </c>
      <c r="F43" s="37">
        <f>E43/B43</f>
        <v>278.64478862049867</v>
      </c>
    </row>
    <row r="44" spans="1:6" x14ac:dyDescent="0.25">
      <c r="B44" s="31">
        <v>50</v>
      </c>
      <c r="C44" s="34">
        <f t="shared" ref="C44:C53" si="0">B44*$E$6</f>
        <v>2347.8927453007527</v>
      </c>
      <c r="D44" s="37">
        <f>-PMT(Assumptions!$F$10,Assumptions!$F$11,Assumptions!$B$27+Assumptions!$F$9,0,0)-$B$9</f>
        <v>8140.0660881628428</v>
      </c>
      <c r="E44" s="37">
        <f t="shared" ref="E44:E53" si="1">D44-C44</f>
        <v>5792.1733428620901</v>
      </c>
      <c r="F44" s="37">
        <f t="shared" ref="F44:F53" si="2">E44/B44</f>
        <v>115.84346685724181</v>
      </c>
    </row>
    <row r="45" spans="1:6" x14ac:dyDescent="0.25">
      <c r="B45" s="31">
        <v>75</v>
      </c>
      <c r="C45" s="34">
        <f t="shared" si="0"/>
        <v>3521.8391179511295</v>
      </c>
      <c r="D45" s="37">
        <f>-PMT(Assumptions!$F$10,Assumptions!$F$11,Assumptions!$B$27+Assumptions!$F$9,0,0)-$B$9</f>
        <v>8140.0660881628428</v>
      </c>
      <c r="E45" s="37">
        <f t="shared" si="1"/>
        <v>4618.2269702117137</v>
      </c>
      <c r="F45" s="37">
        <f t="shared" si="2"/>
        <v>61.576359602822848</v>
      </c>
    </row>
    <row r="46" spans="1:6" x14ac:dyDescent="0.25">
      <c r="B46" s="31">
        <v>100</v>
      </c>
      <c r="C46" s="34">
        <f t="shared" si="0"/>
        <v>4695.7854906015054</v>
      </c>
      <c r="D46" s="37">
        <f>-PMT(Assumptions!$F$10,Assumptions!$F$11,Assumptions!$B$27+Assumptions!$F$9,0,0)-$B$9</f>
        <v>8140.0660881628428</v>
      </c>
      <c r="E46" s="37">
        <f t="shared" si="1"/>
        <v>3444.2805975613373</v>
      </c>
      <c r="F46" s="37">
        <f t="shared" si="2"/>
        <v>34.442805975613375</v>
      </c>
    </row>
    <row r="47" spans="1:6" x14ac:dyDescent="0.25">
      <c r="B47" s="31">
        <v>125</v>
      </c>
      <c r="C47" s="34">
        <f t="shared" si="0"/>
        <v>5869.7318632518818</v>
      </c>
      <c r="D47" s="37">
        <f>-PMT(Assumptions!$F$10,Assumptions!$F$11,Assumptions!$B$27+Assumptions!$F$9,0,0)-$B$9</f>
        <v>8140.0660881628428</v>
      </c>
      <c r="E47" s="37">
        <f t="shared" si="1"/>
        <v>2270.334224910961</v>
      </c>
      <c r="F47" s="37">
        <f t="shared" si="2"/>
        <v>18.162673799287688</v>
      </c>
    </row>
    <row r="48" spans="1:6" x14ac:dyDescent="0.25">
      <c r="B48" s="31">
        <v>150</v>
      </c>
      <c r="C48" s="34">
        <f t="shared" si="0"/>
        <v>7043.6782359022591</v>
      </c>
      <c r="D48" s="37">
        <f>-PMT(Assumptions!$F$10,Assumptions!$F$11,Assumptions!$B$27+Assumptions!$F$9,0,0)-$B$9</f>
        <v>8140.0660881628428</v>
      </c>
      <c r="E48" s="37">
        <f t="shared" si="1"/>
        <v>1096.3878522605837</v>
      </c>
      <c r="F48" s="37">
        <f t="shared" si="2"/>
        <v>7.3092523484038914</v>
      </c>
    </row>
    <row r="49" spans="1:6" x14ac:dyDescent="0.25">
      <c r="B49" s="31">
        <v>175</v>
      </c>
      <c r="C49" s="34">
        <f t="shared" si="0"/>
        <v>8217.6246085526345</v>
      </c>
      <c r="D49" s="37">
        <f>-PMT(Assumptions!$F$10,Assumptions!$F$11,Assumptions!$B$27+Assumptions!$F$9,0,0)-$B$9</f>
        <v>8140.0660881628428</v>
      </c>
      <c r="E49" s="37">
        <f t="shared" si="1"/>
        <v>-77.558520389791738</v>
      </c>
      <c r="F49" s="37">
        <f t="shared" si="2"/>
        <v>-0.44319154508452424</v>
      </c>
    </row>
    <row r="50" spans="1:6" x14ac:dyDescent="0.25">
      <c r="B50" s="31">
        <v>200</v>
      </c>
      <c r="C50" s="34">
        <f t="shared" si="0"/>
        <v>9391.5709812030109</v>
      </c>
      <c r="D50" s="37">
        <f>-PMT(Assumptions!$F$10,Assumptions!$F$11,Assumptions!$B$27+Assumptions!$F$9,0,0)-$B$9</f>
        <v>8140.0660881628428</v>
      </c>
      <c r="E50" s="37">
        <f t="shared" si="1"/>
        <v>-1251.5048930401681</v>
      </c>
      <c r="F50" s="37">
        <f t="shared" si="2"/>
        <v>-6.2575244652008406</v>
      </c>
    </row>
    <row r="51" spans="1:6" x14ac:dyDescent="0.25">
      <c r="B51" s="31">
        <v>225</v>
      </c>
      <c r="C51" s="34">
        <f t="shared" si="0"/>
        <v>10565.517353853387</v>
      </c>
      <c r="D51" s="37">
        <f>-PMT(Assumptions!$F$10,Assumptions!$F$11,Assumptions!$B$27+Assumptions!$F$9,0,0)-$B$9</f>
        <v>8140.0660881628428</v>
      </c>
      <c r="E51" s="37">
        <f t="shared" si="1"/>
        <v>-2425.4512656905445</v>
      </c>
      <c r="F51" s="37">
        <f t="shared" si="2"/>
        <v>-10.779783403069086</v>
      </c>
    </row>
    <row r="52" spans="1:6" x14ac:dyDescent="0.25">
      <c r="B52" s="31">
        <v>250</v>
      </c>
      <c r="C52" s="34">
        <f t="shared" si="0"/>
        <v>11739.463726503764</v>
      </c>
      <c r="D52" s="37">
        <f>-PMT(Assumptions!$F$10,Assumptions!$F$11,Assumptions!$B$27+Assumptions!$F$9,0,0)-$B$9</f>
        <v>8140.0660881628428</v>
      </c>
      <c r="E52" s="37">
        <f t="shared" si="1"/>
        <v>-3599.3976383409208</v>
      </c>
      <c r="F52" s="37">
        <f t="shared" si="2"/>
        <v>-14.397590553363683</v>
      </c>
    </row>
    <row r="53" spans="1:6" x14ac:dyDescent="0.25">
      <c r="B53" s="31">
        <v>500</v>
      </c>
      <c r="C53" s="34">
        <f t="shared" si="0"/>
        <v>23478.927453007527</v>
      </c>
      <c r="D53" s="37">
        <f>-PMT(Assumptions!$F$10,Assumptions!$F$11,Assumptions!$B$27+Assumptions!$F$9,0,0)-$B$9</f>
        <v>8140.0660881628428</v>
      </c>
      <c r="E53" s="37">
        <f t="shared" si="1"/>
        <v>-15338.861364844684</v>
      </c>
      <c r="F53" s="37">
        <f t="shared" si="2"/>
        <v>-30.677722729689368</v>
      </c>
    </row>
    <row r="54" spans="1:6" x14ac:dyDescent="0.25">
      <c r="C54" s="34"/>
      <c r="D54" s="37"/>
      <c r="E54" s="37"/>
      <c r="F54" s="37"/>
    </row>
    <row r="56" spans="1:6" x14ac:dyDescent="0.25">
      <c r="A56" s="31" t="s">
        <v>115</v>
      </c>
      <c r="B56" s="37">
        <f>D60</f>
        <v>6395.7662121279463</v>
      </c>
    </row>
    <row r="58" spans="1:6" x14ac:dyDescent="0.25">
      <c r="B58" s="75" t="s">
        <v>51</v>
      </c>
      <c r="C58" s="75"/>
      <c r="D58" s="75"/>
      <c r="E58" s="75"/>
      <c r="F58" s="75"/>
    </row>
    <row r="59" spans="1:6" x14ac:dyDescent="0.25">
      <c r="B59" s="31" t="s">
        <v>103</v>
      </c>
      <c r="C59" s="31" t="s">
        <v>104</v>
      </c>
      <c r="D59" s="31" t="s">
        <v>105</v>
      </c>
      <c r="E59" s="31" t="s">
        <v>107</v>
      </c>
      <c r="F59" s="31" t="s">
        <v>106</v>
      </c>
    </row>
    <row r="60" spans="1:6" x14ac:dyDescent="0.25">
      <c r="B60" s="31">
        <v>25</v>
      </c>
      <c r="C60" s="34">
        <f>B60*$F$6</f>
        <v>872.21087368421092</v>
      </c>
      <c r="D60" s="37">
        <f>-PMT(Assumptions!$F$10,Assumptions!$F$11,Assumptions!$B$27+Assumptions!$F$8,0,0)-$B$9</f>
        <v>6395.7662121279463</v>
      </c>
      <c r="E60" s="37">
        <f>D60-C60</f>
        <v>5523.5553384437353</v>
      </c>
      <c r="F60" s="37">
        <f>E60/B60</f>
        <v>220.94221353774941</v>
      </c>
    </row>
    <row r="61" spans="1:6" x14ac:dyDescent="0.25">
      <c r="B61" s="31">
        <v>50</v>
      </c>
      <c r="C61" s="34">
        <f t="shared" ref="C61:C70" si="3">B61*$F$6</f>
        <v>1744.4217473684218</v>
      </c>
      <c r="D61" s="37">
        <f>-PMT(Assumptions!$F$10,Assumptions!$F$11,Assumptions!$B$27+Assumptions!$F$8,0,0)-$B$9</f>
        <v>6395.7662121279463</v>
      </c>
      <c r="E61" s="37">
        <f t="shared" ref="E61:E70" si="4">D61-C61</f>
        <v>4651.3444647595243</v>
      </c>
      <c r="F61" s="37">
        <f t="shared" ref="F61:F70" si="5">E61/B61</f>
        <v>93.026889295190486</v>
      </c>
    </row>
    <row r="62" spans="1:6" x14ac:dyDescent="0.25">
      <c r="B62" s="31">
        <v>75</v>
      </c>
      <c r="C62" s="34">
        <f t="shared" si="3"/>
        <v>2616.6326210526327</v>
      </c>
      <c r="D62" s="37">
        <f>-PMT(Assumptions!$F$10,Assumptions!$F$11,Assumptions!$B$27+Assumptions!$F$8,0,0)-$B$9</f>
        <v>6395.7662121279463</v>
      </c>
      <c r="E62" s="37">
        <f t="shared" si="4"/>
        <v>3779.1335910753137</v>
      </c>
      <c r="F62" s="37">
        <f t="shared" si="5"/>
        <v>50.388447881004183</v>
      </c>
    </row>
    <row r="63" spans="1:6" x14ac:dyDescent="0.25">
      <c r="B63" s="31">
        <v>100</v>
      </c>
      <c r="C63" s="34">
        <f t="shared" si="3"/>
        <v>3488.8434947368437</v>
      </c>
      <c r="D63" s="37">
        <f>-PMT(Assumptions!$F$10,Assumptions!$F$11,Assumptions!$B$27+Assumptions!$F$8,0,0)-$B$9</f>
        <v>6395.7662121279463</v>
      </c>
      <c r="E63" s="37">
        <f t="shared" si="4"/>
        <v>2906.9227173911027</v>
      </c>
      <c r="F63" s="37">
        <f t="shared" si="5"/>
        <v>29.069227173911028</v>
      </c>
    </row>
    <row r="64" spans="1:6" x14ac:dyDescent="0.25">
      <c r="B64" s="31">
        <v>125</v>
      </c>
      <c r="C64" s="34">
        <f t="shared" si="3"/>
        <v>4361.0543684210552</v>
      </c>
      <c r="D64" s="37">
        <f>-PMT(Assumptions!$F$10,Assumptions!$F$11,Assumptions!$B$27+Assumptions!$F$8,0,0)-$B$9</f>
        <v>6395.7662121279463</v>
      </c>
      <c r="E64" s="37">
        <f t="shared" si="4"/>
        <v>2034.7118437068912</v>
      </c>
      <c r="F64" s="37">
        <f t="shared" si="5"/>
        <v>16.277694749655129</v>
      </c>
    </row>
    <row r="65" spans="1:7" x14ac:dyDescent="0.25">
      <c r="B65" s="31">
        <v>150</v>
      </c>
      <c r="C65" s="34">
        <f t="shared" si="3"/>
        <v>5233.2652421052653</v>
      </c>
      <c r="D65" s="37">
        <f>-PMT(Assumptions!$F$10,Assumptions!$F$11,Assumptions!$B$27+Assumptions!$F$8,0,0)-$B$9</f>
        <v>6395.7662121279463</v>
      </c>
      <c r="E65" s="37">
        <f t="shared" si="4"/>
        <v>1162.500970022681</v>
      </c>
      <c r="F65" s="37">
        <f t="shared" si="5"/>
        <v>7.7500064668178732</v>
      </c>
    </row>
    <row r="66" spans="1:7" x14ac:dyDescent="0.25">
      <c r="B66" s="31">
        <v>175</v>
      </c>
      <c r="C66" s="34">
        <f t="shared" si="3"/>
        <v>6105.4761157894764</v>
      </c>
      <c r="D66" s="37">
        <f>-PMT(Assumptions!$F$10,Assumptions!$F$11,Assumptions!$B$27+Assumptions!$F$8,0,0)-$B$9</f>
        <v>6395.7662121279463</v>
      </c>
      <c r="E66" s="37">
        <f t="shared" si="4"/>
        <v>290.29009633846999</v>
      </c>
      <c r="F66" s="37">
        <f t="shared" si="5"/>
        <v>1.6588005505055428</v>
      </c>
    </row>
    <row r="67" spans="1:7" x14ac:dyDescent="0.25">
      <c r="B67" s="31">
        <v>200</v>
      </c>
      <c r="C67" s="34">
        <f t="shared" si="3"/>
        <v>6977.6869894736874</v>
      </c>
      <c r="D67" s="37">
        <f>-PMT(Assumptions!$F$10,Assumptions!$F$11,Assumptions!$B$27+Assumptions!$F$8,0,0)-$B$9</f>
        <v>6395.7662121279463</v>
      </c>
      <c r="E67" s="37">
        <f t="shared" si="4"/>
        <v>-581.92077734574104</v>
      </c>
      <c r="F67" s="37">
        <f t="shared" si="5"/>
        <v>-2.9096038867287053</v>
      </c>
    </row>
    <row r="68" spans="1:7" x14ac:dyDescent="0.25">
      <c r="B68" s="31">
        <v>225</v>
      </c>
      <c r="C68" s="34">
        <f t="shared" si="3"/>
        <v>7849.8978631578984</v>
      </c>
      <c r="D68" s="37">
        <f>-PMT(Assumptions!$F$10,Assumptions!$F$11,Assumptions!$B$27+Assumptions!$F$8,0,0)-$B$9</f>
        <v>6395.7662121279463</v>
      </c>
      <c r="E68" s="37">
        <f t="shared" si="4"/>
        <v>-1454.1316510299521</v>
      </c>
      <c r="F68" s="37">
        <f t="shared" si="5"/>
        <v>-6.4628073379108981</v>
      </c>
    </row>
    <row r="69" spans="1:7" x14ac:dyDescent="0.25">
      <c r="B69" s="31">
        <v>250</v>
      </c>
      <c r="C69" s="34">
        <f t="shared" si="3"/>
        <v>8722.1087368421104</v>
      </c>
      <c r="D69" s="37">
        <f>-PMT(Assumptions!$F$10,Assumptions!$F$11,Assumptions!$B$27+Assumptions!$F$8,0,0)-$B$9</f>
        <v>6395.7662121279463</v>
      </c>
      <c r="E69" s="37">
        <f t="shared" si="4"/>
        <v>-2326.342524714164</v>
      </c>
      <c r="F69" s="37">
        <f t="shared" si="5"/>
        <v>-9.3053700988566561</v>
      </c>
    </row>
    <row r="70" spans="1:7" x14ac:dyDescent="0.25">
      <c r="B70" s="31">
        <v>500</v>
      </c>
      <c r="C70" s="34">
        <f t="shared" si="3"/>
        <v>17444.217473684221</v>
      </c>
      <c r="D70" s="37">
        <f>-PMT(Assumptions!$F$10,Assumptions!$F$11,Assumptions!$B$27+Assumptions!$F$8,0,0)-$B$9</f>
        <v>6395.7662121279463</v>
      </c>
      <c r="E70" s="37">
        <f t="shared" si="4"/>
        <v>-11048.451261556274</v>
      </c>
      <c r="F70" s="37">
        <f t="shared" si="5"/>
        <v>-22.096902523112547</v>
      </c>
    </row>
    <row r="72" spans="1:7" x14ac:dyDescent="0.25">
      <c r="B72" s="76" t="str">
        <f>"Savings Per Cow From Baleage at Various Rates of Loss (In-Line Wrapper)"</f>
        <v>Savings Per Cow From Baleage at Various Rates of Loss (In-Line Wrapper)</v>
      </c>
      <c r="C72" s="76"/>
      <c r="D72" s="76"/>
      <c r="E72" s="76"/>
      <c r="F72" s="76"/>
    </row>
    <row r="73" spans="1:7" x14ac:dyDescent="0.25">
      <c r="A73" s="31" t="str">
        <f>"Hay Cost per Cow: $" &amp;ROUND(B5,2)</f>
        <v>Hay Cost per Cow: $210</v>
      </c>
      <c r="C73" s="76" t="s">
        <v>113</v>
      </c>
      <c r="D73" s="76"/>
      <c r="E73" s="76"/>
      <c r="F73" s="76"/>
    </row>
    <row r="74" spans="1:7" x14ac:dyDescent="0.25">
      <c r="B74" s="31" t="s">
        <v>112</v>
      </c>
      <c r="C74" s="38">
        <v>0.05</v>
      </c>
      <c r="D74" s="38">
        <v>0.1</v>
      </c>
      <c r="E74" s="38">
        <v>0.15</v>
      </c>
      <c r="F74" s="38">
        <v>0.2</v>
      </c>
      <c r="G74" s="38">
        <v>0.25</v>
      </c>
    </row>
    <row r="75" spans="1:7" x14ac:dyDescent="0.25">
      <c r="A75" s="31" t="str">
        <f>"Baleage Cost per Cow: $"&amp;ROUND(C5,2)</f>
        <v>Baleage Cost per Cow: $221.39</v>
      </c>
      <c r="B75" s="38">
        <v>0.05</v>
      </c>
      <c r="C75" s="32">
        <f>($B$5*(1+$B75))-($C$5*(1+C$74))</f>
        <v>-11.959539731250004</v>
      </c>
      <c r="D75" s="32">
        <f t="shared" ref="D75:G75" si="6">($B$5*(1+$B75))-($C$5*(1+D$74))</f>
        <v>-23.029041623214283</v>
      </c>
      <c r="E75" s="32">
        <f t="shared" si="6"/>
        <v>-34.098543515178534</v>
      </c>
      <c r="F75" s="32">
        <f t="shared" si="6"/>
        <v>-45.168045407142813</v>
      </c>
      <c r="G75" s="32">
        <f t="shared" si="6"/>
        <v>-56.237547299107121</v>
      </c>
    </row>
    <row r="76" spans="1:7" x14ac:dyDescent="0.25">
      <c r="B76" s="38">
        <v>0.1</v>
      </c>
      <c r="C76" s="32">
        <f t="shared" ref="C76:G81" si="7">($B$5*(1+$B76))-($C$5*(1+C$74))</f>
        <v>-1.4595397312499756</v>
      </c>
      <c r="D76" s="32">
        <f t="shared" si="7"/>
        <v>-12.529041623214255</v>
      </c>
      <c r="E76" s="32">
        <f t="shared" si="7"/>
        <v>-23.598543515178505</v>
      </c>
      <c r="F76" s="32">
        <f t="shared" si="7"/>
        <v>-34.668045407142785</v>
      </c>
      <c r="G76" s="32">
        <f t="shared" si="7"/>
        <v>-45.737547299107092</v>
      </c>
    </row>
    <row r="77" spans="1:7" x14ac:dyDescent="0.25">
      <c r="B77" s="38">
        <v>0.15</v>
      </c>
      <c r="C77" s="32">
        <f t="shared" si="7"/>
        <v>9.0404602687499676</v>
      </c>
      <c r="D77" s="32">
        <f t="shared" si="7"/>
        <v>-2.0290416232143116</v>
      </c>
      <c r="E77" s="32">
        <f t="shared" si="7"/>
        <v>-13.098543515178562</v>
      </c>
      <c r="F77" s="32">
        <f t="shared" si="7"/>
        <v>-24.168045407142841</v>
      </c>
      <c r="G77" s="32">
        <f t="shared" si="7"/>
        <v>-35.237547299107149</v>
      </c>
    </row>
    <row r="78" spans="1:7" x14ac:dyDescent="0.25">
      <c r="B78" s="38">
        <v>0.2</v>
      </c>
      <c r="C78" s="32">
        <f t="shared" si="7"/>
        <v>19.540460268749996</v>
      </c>
      <c r="D78" s="32">
        <f t="shared" si="7"/>
        <v>8.4709583767857168</v>
      </c>
      <c r="E78" s="32">
        <f t="shared" si="7"/>
        <v>-2.5985435151785339</v>
      </c>
      <c r="F78" s="32">
        <f t="shared" si="7"/>
        <v>-13.668045407142813</v>
      </c>
      <c r="G78" s="32">
        <f t="shared" si="7"/>
        <v>-24.737547299107121</v>
      </c>
    </row>
    <row r="79" spans="1:7" x14ac:dyDescent="0.25">
      <c r="B79" s="38">
        <v>0.25</v>
      </c>
      <c r="C79" s="32">
        <f t="shared" si="7"/>
        <v>30.040460268749996</v>
      </c>
      <c r="D79" s="32">
        <f t="shared" si="7"/>
        <v>18.970958376785717</v>
      </c>
      <c r="E79" s="32">
        <f t="shared" si="7"/>
        <v>7.9014564848214661</v>
      </c>
      <c r="F79" s="32">
        <f t="shared" si="7"/>
        <v>-3.168045407142813</v>
      </c>
      <c r="G79" s="32">
        <f t="shared" si="7"/>
        <v>-14.237547299107121</v>
      </c>
    </row>
    <row r="80" spans="1:7" x14ac:dyDescent="0.25">
      <c r="B80" s="38">
        <v>0.33</v>
      </c>
      <c r="C80" s="32">
        <f t="shared" si="7"/>
        <v>46.840460268750007</v>
      </c>
      <c r="D80" s="32">
        <f t="shared" si="7"/>
        <v>35.770958376785728</v>
      </c>
      <c r="E80" s="32">
        <f t="shared" si="7"/>
        <v>24.701456484821477</v>
      </c>
      <c r="F80" s="32">
        <f t="shared" si="7"/>
        <v>13.631954592857198</v>
      </c>
      <c r="G80" s="32">
        <f t="shared" si="7"/>
        <v>2.5624527008928908</v>
      </c>
    </row>
    <row r="81" spans="1:7" x14ac:dyDescent="0.25">
      <c r="B81" s="38">
        <v>0.5</v>
      </c>
      <c r="C81" s="32">
        <f t="shared" si="7"/>
        <v>82.540460268749996</v>
      </c>
      <c r="D81" s="32">
        <f t="shared" si="7"/>
        <v>71.470958376785717</v>
      </c>
      <c r="E81" s="32">
        <f t="shared" si="7"/>
        <v>60.401456484821466</v>
      </c>
      <c r="F81" s="32">
        <f t="shared" si="7"/>
        <v>49.331954592857187</v>
      </c>
      <c r="G81" s="32">
        <f t="shared" si="7"/>
        <v>38.262452700892879</v>
      </c>
    </row>
    <row r="84" spans="1:7" x14ac:dyDescent="0.25">
      <c r="B84" s="76" t="str">
        <f>"Savings For " &amp;A88&amp; " Cow Operation From Baleage at Various Rates of Loss (In-Line Wrapper)"</f>
        <v>Savings For 50 Cow Operation From Baleage at Various Rates of Loss (In-Line Wrapper)</v>
      </c>
      <c r="C84" s="76"/>
      <c r="D84" s="76"/>
      <c r="E84" s="76"/>
      <c r="F84" s="76"/>
    </row>
    <row r="85" spans="1:7" x14ac:dyDescent="0.25">
      <c r="C85" s="76" t="s">
        <v>113</v>
      </c>
      <c r="D85" s="76"/>
      <c r="E85" s="76"/>
      <c r="F85" s="76"/>
    </row>
    <row r="86" spans="1:7" x14ac:dyDescent="0.25">
      <c r="B86" s="31" t="s">
        <v>112</v>
      </c>
      <c r="C86" s="38">
        <v>0.05</v>
      </c>
      <c r="D86" s="38">
        <v>0.1</v>
      </c>
      <c r="E86" s="38">
        <v>0.15</v>
      </c>
      <c r="F86" s="38">
        <v>0.2</v>
      </c>
      <c r="G86" s="38">
        <v>0.25</v>
      </c>
    </row>
    <row r="87" spans="1:7" x14ac:dyDescent="0.25">
      <c r="A87" s="31" t="s">
        <v>114</v>
      </c>
      <c r="B87" s="38">
        <v>0.05</v>
      </c>
      <c r="C87" s="32">
        <f>((C75*$A$88)-$D$43)</f>
        <v>-8738.0430747253431</v>
      </c>
      <c r="D87" s="32">
        <f t="shared" ref="D87:G87" si="8">((D75*$A$88)-$D$43)</f>
        <v>-9291.5181693235572</v>
      </c>
      <c r="E87" s="32">
        <f t="shared" si="8"/>
        <v>-9844.9932639217695</v>
      </c>
      <c r="F87" s="32">
        <f t="shared" si="8"/>
        <v>-10398.468358519984</v>
      </c>
      <c r="G87" s="32">
        <f t="shared" si="8"/>
        <v>-10951.943453118198</v>
      </c>
    </row>
    <row r="88" spans="1:7" x14ac:dyDescent="0.25">
      <c r="A88" s="9">
        <v>50</v>
      </c>
      <c r="B88" s="38">
        <v>0.1</v>
      </c>
      <c r="C88" s="32">
        <f t="shared" ref="C88:G93" si="9">((C76*$A$88)-$D$43)</f>
        <v>-8213.0430747253413</v>
      </c>
      <c r="D88" s="32">
        <f t="shared" si="9"/>
        <v>-8766.5181693235554</v>
      </c>
      <c r="E88" s="32">
        <f t="shared" si="9"/>
        <v>-9319.9932639217677</v>
      </c>
      <c r="F88" s="32">
        <f t="shared" si="9"/>
        <v>-9873.4683585199818</v>
      </c>
      <c r="G88" s="32">
        <f t="shared" si="9"/>
        <v>-10426.943453118198</v>
      </c>
    </row>
    <row r="89" spans="1:7" x14ac:dyDescent="0.25">
      <c r="B89" s="38">
        <v>0.15</v>
      </c>
      <c r="C89" s="32">
        <f t="shared" si="9"/>
        <v>-7688.043074725344</v>
      </c>
      <c r="D89" s="32">
        <f t="shared" si="9"/>
        <v>-8241.5181693235591</v>
      </c>
      <c r="E89" s="32">
        <f t="shared" si="9"/>
        <v>-8794.9932639217714</v>
      </c>
      <c r="F89" s="32">
        <f t="shared" si="9"/>
        <v>-9348.4683585199855</v>
      </c>
      <c r="G89" s="32">
        <f t="shared" si="9"/>
        <v>-9901.9434531181996</v>
      </c>
    </row>
    <row r="90" spans="1:7" x14ac:dyDescent="0.25">
      <c r="B90" s="38">
        <v>0.2</v>
      </c>
      <c r="C90" s="32">
        <f t="shared" si="9"/>
        <v>-7163.0430747253431</v>
      </c>
      <c r="D90" s="32">
        <f t="shared" si="9"/>
        <v>-7716.5181693235572</v>
      </c>
      <c r="E90" s="32">
        <f t="shared" si="9"/>
        <v>-8269.9932639217695</v>
      </c>
      <c r="F90" s="32">
        <f t="shared" si="9"/>
        <v>-8823.4683585199837</v>
      </c>
      <c r="G90" s="32">
        <f t="shared" si="9"/>
        <v>-9376.9434531181978</v>
      </c>
    </row>
    <row r="91" spans="1:7" x14ac:dyDescent="0.25">
      <c r="B91" s="38">
        <v>0.25</v>
      </c>
      <c r="C91" s="32">
        <f t="shared" si="9"/>
        <v>-6638.0430747253431</v>
      </c>
      <c r="D91" s="32">
        <f t="shared" si="9"/>
        <v>-7191.5181693235572</v>
      </c>
      <c r="E91" s="32">
        <f t="shared" si="9"/>
        <v>-7744.9932639217695</v>
      </c>
      <c r="F91" s="32">
        <f t="shared" si="9"/>
        <v>-8298.4683585199837</v>
      </c>
      <c r="G91" s="32">
        <f t="shared" si="9"/>
        <v>-8851.9434531181996</v>
      </c>
    </row>
    <row r="92" spans="1:7" x14ac:dyDescent="0.25">
      <c r="B92" s="38">
        <v>0.33</v>
      </c>
      <c r="C92" s="32">
        <f t="shared" si="9"/>
        <v>-5798.0430747253422</v>
      </c>
      <c r="D92" s="32">
        <f t="shared" si="9"/>
        <v>-6351.5181693235563</v>
      </c>
      <c r="E92" s="32">
        <f t="shared" si="9"/>
        <v>-6904.9932639217686</v>
      </c>
      <c r="F92" s="32">
        <f t="shared" si="9"/>
        <v>-7458.4683585199828</v>
      </c>
      <c r="G92" s="32">
        <f t="shared" si="9"/>
        <v>-8011.9434531181978</v>
      </c>
    </row>
    <row r="93" spans="1:7" x14ac:dyDescent="0.25">
      <c r="B93" s="38">
        <v>0.5</v>
      </c>
      <c r="C93" s="32">
        <f t="shared" si="9"/>
        <v>-4013.0430747253431</v>
      </c>
      <c r="D93" s="32">
        <f t="shared" si="9"/>
        <v>-4566.5181693235572</v>
      </c>
      <c r="E93" s="32">
        <f t="shared" si="9"/>
        <v>-5119.9932639217695</v>
      </c>
      <c r="F93" s="32">
        <f t="shared" si="9"/>
        <v>-5673.4683585199837</v>
      </c>
      <c r="G93" s="32">
        <f t="shared" si="9"/>
        <v>-6226.9434531181987</v>
      </c>
    </row>
    <row r="95" spans="1:7" x14ac:dyDescent="0.25">
      <c r="C95"/>
    </row>
    <row r="96" spans="1:7" x14ac:dyDescent="0.25">
      <c r="B96" s="76" t="str">
        <f>"Savings Per Cow From Baleage at Various Rates of Loss (Individual Wrapper)"</f>
        <v>Savings Per Cow From Baleage at Various Rates of Loss (Individual Wrapper)</v>
      </c>
      <c r="C96" s="76"/>
      <c r="D96" s="76"/>
      <c r="E96" s="76"/>
      <c r="F96" s="76"/>
    </row>
    <row r="97" spans="1:7" x14ac:dyDescent="0.25">
      <c r="A97" s="31" t="str">
        <f>"Hay Cost per Cow: $" &amp;ROUND(B5,2)</f>
        <v>Hay Cost per Cow: $210</v>
      </c>
      <c r="C97" s="76" t="s">
        <v>113</v>
      </c>
      <c r="D97" s="76"/>
      <c r="E97" s="76"/>
      <c r="F97" s="76"/>
    </row>
    <row r="98" spans="1:7" x14ac:dyDescent="0.25">
      <c r="B98" s="31" t="s">
        <v>112</v>
      </c>
      <c r="C98" s="38">
        <v>0.05</v>
      </c>
      <c r="D98" s="38">
        <v>0.1</v>
      </c>
      <c r="E98" s="38">
        <v>0.15</v>
      </c>
      <c r="F98" s="38">
        <v>0.2</v>
      </c>
      <c r="G98" s="38">
        <v>0.25</v>
      </c>
    </row>
    <row r="99" spans="1:7" x14ac:dyDescent="0.25">
      <c r="A99" s="31" t="str">
        <f>"Baleage Cost per Cow: $"&amp;ROUND(Sensitivity!D5,2)</f>
        <v>Baleage Cost per Cow: $232.86</v>
      </c>
      <c r="B99" s="38">
        <v>0.05</v>
      </c>
      <c r="C99" s="32">
        <f>($B$5*(1+$B99))-($D$5*(1+C$98))</f>
        <v>-23.998786139999993</v>
      </c>
      <c r="D99" s="32">
        <f t="shared" ref="D99:G99" si="10">($B$5*(1+$B99))-($D$5*(1+D$98))</f>
        <v>-35.641585480000003</v>
      </c>
      <c r="E99" s="32">
        <f t="shared" si="10"/>
        <v>-47.284384819999957</v>
      </c>
      <c r="F99" s="32">
        <f t="shared" si="10"/>
        <v>-58.927184159999968</v>
      </c>
      <c r="G99" s="32">
        <f t="shared" si="10"/>
        <v>-70.569983499999978</v>
      </c>
    </row>
    <row r="100" spans="1:7" x14ac:dyDescent="0.25">
      <c r="B100" s="38">
        <v>0.1</v>
      </c>
      <c r="C100" s="32">
        <f t="shared" ref="C100:G105" si="11">($B$5*(1+$B100))-($D$5*(1+C$98))</f>
        <v>-13.498786139999964</v>
      </c>
      <c r="D100" s="32">
        <f t="shared" si="11"/>
        <v>-25.141585479999975</v>
      </c>
      <c r="E100" s="32">
        <f t="shared" si="11"/>
        <v>-36.784384819999929</v>
      </c>
      <c r="F100" s="32">
        <f t="shared" si="11"/>
        <v>-48.427184159999939</v>
      </c>
      <c r="G100" s="32">
        <f t="shared" si="11"/>
        <v>-60.06998349999995</v>
      </c>
    </row>
    <row r="101" spans="1:7" x14ac:dyDescent="0.25">
      <c r="B101" s="38">
        <v>0.15</v>
      </c>
      <c r="C101" s="32">
        <f t="shared" si="11"/>
        <v>-2.9987861400000213</v>
      </c>
      <c r="D101" s="32">
        <f t="shared" si="11"/>
        <v>-14.641585480000032</v>
      </c>
      <c r="E101" s="32">
        <f t="shared" si="11"/>
        <v>-26.284384819999985</v>
      </c>
      <c r="F101" s="32">
        <f t="shared" si="11"/>
        <v>-37.927184159999996</v>
      </c>
      <c r="G101" s="32">
        <f t="shared" si="11"/>
        <v>-49.569983500000006</v>
      </c>
    </row>
    <row r="102" spans="1:7" x14ac:dyDescent="0.25">
      <c r="B102" s="38">
        <v>0.2</v>
      </c>
      <c r="C102" s="32">
        <f t="shared" si="11"/>
        <v>7.5012138600000071</v>
      </c>
      <c r="D102" s="32">
        <f t="shared" si="11"/>
        <v>-4.1415854800000034</v>
      </c>
      <c r="E102" s="32">
        <f t="shared" si="11"/>
        <v>-15.784384819999957</v>
      </c>
      <c r="F102" s="32">
        <f t="shared" si="11"/>
        <v>-27.427184159999968</v>
      </c>
      <c r="G102" s="32">
        <f t="shared" si="11"/>
        <v>-39.069983499999978</v>
      </c>
    </row>
    <row r="103" spans="1:7" x14ac:dyDescent="0.25">
      <c r="B103" s="38">
        <v>0.25</v>
      </c>
      <c r="C103" s="32">
        <f t="shared" si="11"/>
        <v>18.001213860000007</v>
      </c>
      <c r="D103" s="32">
        <f t="shared" si="11"/>
        <v>6.3584145199999966</v>
      </c>
      <c r="E103" s="32">
        <f t="shared" si="11"/>
        <v>-5.284384819999957</v>
      </c>
      <c r="F103" s="32">
        <f t="shared" si="11"/>
        <v>-16.927184159999968</v>
      </c>
      <c r="G103" s="32">
        <f t="shared" si="11"/>
        <v>-28.569983499999978</v>
      </c>
    </row>
    <row r="104" spans="1:7" x14ac:dyDescent="0.25">
      <c r="B104" s="38">
        <v>0.33</v>
      </c>
      <c r="C104" s="32">
        <f t="shared" si="11"/>
        <v>34.801213860000018</v>
      </c>
      <c r="D104" s="32">
        <f t="shared" si="11"/>
        <v>23.158414520000008</v>
      </c>
      <c r="E104" s="32">
        <f t="shared" si="11"/>
        <v>11.515615180000054</v>
      </c>
      <c r="F104" s="32">
        <f t="shared" si="11"/>
        <v>-0.12718415999995614</v>
      </c>
      <c r="G104" s="32">
        <f t="shared" si="11"/>
        <v>-11.769983499999967</v>
      </c>
    </row>
    <row r="105" spans="1:7" x14ac:dyDescent="0.25">
      <c r="B105" s="38">
        <v>0.5</v>
      </c>
      <c r="C105" s="32">
        <f t="shared" si="11"/>
        <v>70.501213860000007</v>
      </c>
      <c r="D105" s="32">
        <f t="shared" si="11"/>
        <v>58.858414519999997</v>
      </c>
      <c r="E105" s="32">
        <f t="shared" si="11"/>
        <v>47.215615180000043</v>
      </c>
      <c r="F105" s="32">
        <f t="shared" si="11"/>
        <v>35.572815840000032</v>
      </c>
      <c r="G105" s="32">
        <f t="shared" si="11"/>
        <v>23.930016500000022</v>
      </c>
    </row>
    <row r="108" spans="1:7" x14ac:dyDescent="0.25">
      <c r="B108" s="76" t="str">
        <f>"Savings For "&amp;A88&amp;" Cow Operation From Baleage at Various Rates of Loss (Individual Wrapper)"</f>
        <v>Savings For 50 Cow Operation From Baleage at Various Rates of Loss (Individual Wrapper)</v>
      </c>
      <c r="C108" s="76"/>
      <c r="D108" s="76"/>
      <c r="E108" s="76"/>
      <c r="F108" s="76"/>
    </row>
    <row r="109" spans="1:7" x14ac:dyDescent="0.25">
      <c r="C109" s="76" t="s">
        <v>113</v>
      </c>
      <c r="D109" s="76"/>
      <c r="E109" s="76"/>
      <c r="F109" s="76"/>
    </row>
    <row r="110" spans="1:7" x14ac:dyDescent="0.25">
      <c r="B110" s="31" t="s">
        <v>112</v>
      </c>
      <c r="C110" s="38">
        <v>0.05</v>
      </c>
      <c r="D110" s="38">
        <v>0.1</v>
      </c>
      <c r="E110" s="38">
        <v>0.15</v>
      </c>
      <c r="F110" s="38">
        <v>0.2</v>
      </c>
      <c r="G110" s="38">
        <v>0.25</v>
      </c>
    </row>
    <row r="111" spans="1:7" x14ac:dyDescent="0.25">
      <c r="A111" s="31" t="s">
        <v>114</v>
      </c>
      <c r="B111" s="38">
        <v>0.05</v>
      </c>
      <c r="C111" s="32">
        <f>((C99*$A$88)-($D$60))</f>
        <v>-7595.705519127946</v>
      </c>
      <c r="D111" s="32">
        <f t="shared" ref="D111:G111" si="12">((D99*$A$88)-($D$60))</f>
        <v>-8177.8454861279461</v>
      </c>
      <c r="E111" s="32">
        <f t="shared" si="12"/>
        <v>-8759.9854531279452</v>
      </c>
      <c r="F111" s="32">
        <f t="shared" si="12"/>
        <v>-9342.1254201279444</v>
      </c>
      <c r="G111" s="32">
        <f t="shared" si="12"/>
        <v>-9924.2653871279454</v>
      </c>
    </row>
    <row r="112" spans="1:7" x14ac:dyDescent="0.25">
      <c r="A112" s="11">
        <f>A88</f>
        <v>50</v>
      </c>
      <c r="B112" s="38">
        <v>0.1</v>
      </c>
      <c r="C112" s="32">
        <f t="shared" ref="C112:G117" si="13">((C100*$A$88)-($D$60))</f>
        <v>-7070.7055191279451</v>
      </c>
      <c r="D112" s="32">
        <f t="shared" si="13"/>
        <v>-7652.8454861279452</v>
      </c>
      <c r="E112" s="32">
        <f t="shared" si="13"/>
        <v>-8234.9854531279434</v>
      </c>
      <c r="F112" s="32">
        <f t="shared" si="13"/>
        <v>-8817.1254201279444</v>
      </c>
      <c r="G112" s="32">
        <f t="shared" si="13"/>
        <v>-9399.2653871279435</v>
      </c>
    </row>
    <row r="113" spans="2:7" x14ac:dyDescent="0.25">
      <c r="B113" s="38">
        <v>0.15</v>
      </c>
      <c r="C113" s="32">
        <f t="shared" si="13"/>
        <v>-6545.7055191279478</v>
      </c>
      <c r="D113" s="32">
        <f t="shared" si="13"/>
        <v>-7127.8454861279479</v>
      </c>
      <c r="E113" s="32">
        <f t="shared" si="13"/>
        <v>-7709.9854531279452</v>
      </c>
      <c r="F113" s="32">
        <f t="shared" si="13"/>
        <v>-8292.1254201279462</v>
      </c>
      <c r="G113" s="32">
        <f t="shared" si="13"/>
        <v>-8874.2653871279472</v>
      </c>
    </row>
    <row r="114" spans="2:7" x14ac:dyDescent="0.25">
      <c r="B114" s="38">
        <v>0.2</v>
      </c>
      <c r="C114" s="32">
        <f t="shared" si="13"/>
        <v>-6020.705519127946</v>
      </c>
      <c r="D114" s="32">
        <f t="shared" si="13"/>
        <v>-6602.8454861279461</v>
      </c>
      <c r="E114" s="32">
        <f t="shared" si="13"/>
        <v>-7184.9854531279443</v>
      </c>
      <c r="F114" s="32">
        <f t="shared" si="13"/>
        <v>-7767.1254201279444</v>
      </c>
      <c r="G114" s="32">
        <f t="shared" si="13"/>
        <v>-8349.2653871279454</v>
      </c>
    </row>
    <row r="115" spans="2:7" x14ac:dyDescent="0.25">
      <c r="B115" s="38">
        <v>0.25</v>
      </c>
      <c r="C115" s="32">
        <f t="shared" si="13"/>
        <v>-5495.705519127946</v>
      </c>
      <c r="D115" s="32">
        <f t="shared" si="13"/>
        <v>-6077.8454861279461</v>
      </c>
      <c r="E115" s="32">
        <f t="shared" si="13"/>
        <v>-6659.9854531279443</v>
      </c>
      <c r="F115" s="32">
        <f t="shared" si="13"/>
        <v>-7242.1254201279444</v>
      </c>
      <c r="G115" s="32">
        <f t="shared" si="13"/>
        <v>-7824.2653871279454</v>
      </c>
    </row>
    <row r="116" spans="2:7" x14ac:dyDescent="0.25">
      <c r="B116" s="38">
        <v>0.33</v>
      </c>
      <c r="C116" s="32">
        <f t="shared" si="13"/>
        <v>-4655.7055191279451</v>
      </c>
      <c r="D116" s="32">
        <f t="shared" si="13"/>
        <v>-5237.8454861279461</v>
      </c>
      <c r="E116" s="32">
        <f t="shared" si="13"/>
        <v>-5819.9854531279434</v>
      </c>
      <c r="F116" s="32">
        <f t="shared" si="13"/>
        <v>-6402.1254201279444</v>
      </c>
      <c r="G116" s="32">
        <f t="shared" si="13"/>
        <v>-6984.2653871279445</v>
      </c>
    </row>
    <row r="117" spans="2:7" x14ac:dyDescent="0.25">
      <c r="B117" s="38">
        <v>0.5</v>
      </c>
      <c r="C117" s="32">
        <f t="shared" si="13"/>
        <v>-2870.705519127946</v>
      </c>
      <c r="D117" s="32">
        <f t="shared" si="13"/>
        <v>-3452.8454861279465</v>
      </c>
      <c r="E117" s="32">
        <f t="shared" si="13"/>
        <v>-4034.9854531279443</v>
      </c>
      <c r="F117" s="32">
        <f t="shared" si="13"/>
        <v>-4617.1254201279444</v>
      </c>
      <c r="G117" s="32">
        <f t="shared" si="13"/>
        <v>-5199.2653871279454</v>
      </c>
    </row>
    <row r="118" spans="2:7" x14ac:dyDescent="0.25">
      <c r="B118" s="38"/>
      <c r="C118" s="32"/>
      <c r="D118" s="32"/>
      <c r="E118" s="32"/>
      <c r="F118" s="32"/>
      <c r="G118" s="32"/>
    </row>
    <row r="119" spans="2:7" x14ac:dyDescent="0.25">
      <c r="B119" s="38"/>
      <c r="C119" s="32"/>
      <c r="D119" s="32"/>
      <c r="E119" s="32"/>
      <c r="F119" s="32"/>
      <c r="G119" s="32"/>
    </row>
    <row r="120" spans="2:7" x14ac:dyDescent="0.25">
      <c r="B120" s="38"/>
      <c r="C120" s="76" t="s">
        <v>140</v>
      </c>
      <c r="D120" s="76"/>
      <c r="E120" s="76"/>
      <c r="F120" s="76"/>
      <c r="G120" s="76"/>
    </row>
    <row r="121" spans="2:7" x14ac:dyDescent="0.25">
      <c r="B121" s="38"/>
      <c r="D121" s="76" t="s">
        <v>141</v>
      </c>
      <c r="E121" s="76"/>
      <c r="F121" s="76"/>
      <c r="G121" s="76"/>
    </row>
    <row r="122" spans="2:7" x14ac:dyDescent="0.25">
      <c r="C122" s="31" t="s">
        <v>91</v>
      </c>
    </row>
    <row r="123" spans="2:7" x14ac:dyDescent="0.25">
      <c r="B123" s="31" t="s">
        <v>134</v>
      </c>
      <c r="C123" s="31">
        <v>25</v>
      </c>
      <c r="D123" s="31">
        <v>100</v>
      </c>
      <c r="E123" s="31">
        <v>200</v>
      </c>
      <c r="F123" s="31">
        <v>500</v>
      </c>
    </row>
    <row r="124" spans="2:7" x14ac:dyDescent="0.25">
      <c r="B124" s="38">
        <v>0.05</v>
      </c>
      <c r="C124" s="45">
        <f>(C$123*(($B$5*(1+$B124))-($C$5*(1+$C$74))))-$D$43</f>
        <v>-8439.054581444092</v>
      </c>
      <c r="D124" s="45">
        <f>(D$123*(($B$5*(1+$B124))-($C$5*(1+$C$74))))-$D$43</f>
        <v>-9336.0200612878434</v>
      </c>
      <c r="E124" s="45">
        <f>(E$123*(($B$5*(1+$B124))-($C$5*(1+$C$74))))-$D$43</f>
        <v>-10531.974034412844</v>
      </c>
      <c r="F124" s="45">
        <f>(F$123*(($B$5*(1+$B124))-($C$5*(1+$C$74))))-$D$43</f>
        <v>-14119.835953787846</v>
      </c>
    </row>
    <row r="125" spans="2:7" x14ac:dyDescent="0.25">
      <c r="B125" s="38">
        <v>0.1</v>
      </c>
      <c r="C125" s="45">
        <f t="shared" ref="C125:F130" si="14">(C$123*(($B$5*(1+$B125))-($C$5*(1+$C$74))))-$D$43</f>
        <v>-8176.554581444092</v>
      </c>
      <c r="D125" s="45">
        <f t="shared" si="14"/>
        <v>-8286.0200612878398</v>
      </c>
      <c r="E125" s="45">
        <f t="shared" si="14"/>
        <v>-8431.9740344128386</v>
      </c>
      <c r="F125" s="45">
        <f t="shared" si="14"/>
        <v>-8869.8359537878314</v>
      </c>
    </row>
    <row r="126" spans="2:7" x14ac:dyDescent="0.25">
      <c r="B126" s="38">
        <v>0.15</v>
      </c>
      <c r="C126" s="45">
        <f t="shared" si="14"/>
        <v>-7914.0545814440939</v>
      </c>
      <c r="D126" s="45">
        <f t="shared" si="14"/>
        <v>-7236.0200612878461</v>
      </c>
      <c r="E126" s="45">
        <f t="shared" si="14"/>
        <v>-6331.9740344128495</v>
      </c>
      <c r="F126" s="45">
        <f t="shared" si="14"/>
        <v>-3619.8359537878587</v>
      </c>
    </row>
    <row r="127" spans="2:7" x14ac:dyDescent="0.25">
      <c r="B127" s="38">
        <v>0.2</v>
      </c>
      <c r="C127" s="45">
        <f t="shared" si="14"/>
        <v>-7651.5545814440929</v>
      </c>
      <c r="D127" s="45">
        <f t="shared" si="14"/>
        <v>-6186.0200612878434</v>
      </c>
      <c r="E127" s="45">
        <f t="shared" si="14"/>
        <v>-4231.974034412844</v>
      </c>
      <c r="F127" s="45">
        <f t="shared" si="14"/>
        <v>1630.1640462121559</v>
      </c>
    </row>
    <row r="128" spans="2:7" x14ac:dyDescent="0.25">
      <c r="B128" s="38">
        <v>0.25</v>
      </c>
      <c r="C128" s="45">
        <f t="shared" si="14"/>
        <v>-7389.0545814440929</v>
      </c>
      <c r="D128" s="45">
        <f t="shared" si="14"/>
        <v>-5136.0200612878434</v>
      </c>
      <c r="E128" s="45">
        <f t="shared" si="14"/>
        <v>-2131.974034412844</v>
      </c>
      <c r="F128" s="45">
        <f t="shared" si="14"/>
        <v>6880.1640462121559</v>
      </c>
    </row>
    <row r="129" spans="2:7" x14ac:dyDescent="0.25">
      <c r="B129" s="38">
        <v>0.33</v>
      </c>
      <c r="C129" s="45">
        <f t="shared" si="14"/>
        <v>-6969.054581444092</v>
      </c>
      <c r="D129" s="45">
        <f t="shared" si="14"/>
        <v>-3456.0200612878416</v>
      </c>
      <c r="E129" s="45">
        <f t="shared" si="14"/>
        <v>1228.0259655871596</v>
      </c>
      <c r="F129" s="45">
        <f t="shared" si="14"/>
        <v>15280.164046212161</v>
      </c>
    </row>
    <row r="130" spans="2:7" x14ac:dyDescent="0.25">
      <c r="B130" s="38">
        <v>0.5</v>
      </c>
      <c r="C130" s="45">
        <f t="shared" si="14"/>
        <v>-6076.5545814440929</v>
      </c>
      <c r="D130" s="45">
        <f t="shared" si="14"/>
        <v>113.97993871215658</v>
      </c>
      <c r="E130" s="45">
        <f t="shared" si="14"/>
        <v>8368.025965587156</v>
      </c>
      <c r="F130" s="45">
        <f t="shared" si="14"/>
        <v>33130.164046212158</v>
      </c>
    </row>
    <row r="131" spans="2:7" x14ac:dyDescent="0.25">
      <c r="B131" s="34"/>
      <c r="C131" s="45"/>
      <c r="D131" s="45"/>
      <c r="E131" s="45"/>
      <c r="F131" s="45"/>
    </row>
    <row r="132" spans="2:7" x14ac:dyDescent="0.25">
      <c r="B132" s="34"/>
      <c r="C132" s="76" t="s">
        <v>142</v>
      </c>
      <c r="D132" s="76"/>
      <c r="E132" s="76"/>
      <c r="F132" s="76"/>
      <c r="G132" s="76"/>
    </row>
    <row r="133" spans="2:7" x14ac:dyDescent="0.25">
      <c r="B133" s="32"/>
      <c r="D133" s="76" t="s">
        <v>141</v>
      </c>
      <c r="E133" s="76"/>
      <c r="F133" s="76"/>
      <c r="G133" s="76"/>
    </row>
    <row r="134" spans="2:7" x14ac:dyDescent="0.25">
      <c r="C134" s="31" t="s">
        <v>51</v>
      </c>
    </row>
    <row r="135" spans="2:7" x14ac:dyDescent="0.25">
      <c r="C135" s="31">
        <v>25</v>
      </c>
      <c r="D135" s="31">
        <v>100</v>
      </c>
      <c r="E135" s="31">
        <v>200</v>
      </c>
      <c r="F135" s="31">
        <v>500</v>
      </c>
    </row>
    <row r="136" spans="2:7" x14ac:dyDescent="0.25">
      <c r="B136" s="38">
        <v>0.05</v>
      </c>
      <c r="C136" s="46">
        <f>(C$123*(($B$5*(1+$B136))-($D$5*(1+$C$74))))-$D$60</f>
        <v>-6995.7358656279466</v>
      </c>
      <c r="D136" s="46">
        <f t="shared" ref="D136:F136" si="15">(D$123*(($B$5*(1+$B136))-($D$5*(1+$C$74))))-$D$60</f>
        <v>-8795.6448261279456</v>
      </c>
      <c r="E136" s="46">
        <f t="shared" si="15"/>
        <v>-11195.523440127945</v>
      </c>
      <c r="F136" s="46">
        <f t="shared" si="15"/>
        <v>-18395.159282127941</v>
      </c>
    </row>
    <row r="137" spans="2:7" x14ac:dyDescent="0.25">
      <c r="B137" s="38">
        <v>0.1</v>
      </c>
      <c r="C137" s="46">
        <f t="shared" ref="C137:F142" si="16">(C$123*(($B$5*(1+$B137))-($D$5*(1+$C$74))))-$D$60</f>
        <v>-6733.2358656279457</v>
      </c>
      <c r="D137" s="46">
        <f t="shared" si="16"/>
        <v>-7745.6448261279429</v>
      </c>
      <c r="E137" s="46">
        <f t="shared" si="16"/>
        <v>-9095.5234401279395</v>
      </c>
      <c r="F137" s="46">
        <f t="shared" si="16"/>
        <v>-13145.159282127928</v>
      </c>
    </row>
    <row r="138" spans="2:7" x14ac:dyDescent="0.25">
      <c r="B138" s="38">
        <v>0.15</v>
      </c>
      <c r="C138" s="46">
        <f t="shared" si="16"/>
        <v>-6470.7358656279466</v>
      </c>
      <c r="D138" s="46">
        <f t="shared" si="16"/>
        <v>-6695.6448261279484</v>
      </c>
      <c r="E138" s="46">
        <f t="shared" si="16"/>
        <v>-6995.5234401279504</v>
      </c>
      <c r="F138" s="46">
        <f t="shared" si="16"/>
        <v>-7895.1592821279573</v>
      </c>
    </row>
    <row r="139" spans="2:7" x14ac:dyDescent="0.25">
      <c r="B139" s="38">
        <v>0.2</v>
      </c>
      <c r="C139" s="46">
        <f t="shared" si="16"/>
        <v>-6208.2358656279466</v>
      </c>
      <c r="D139" s="46">
        <f t="shared" si="16"/>
        <v>-5645.6448261279456</v>
      </c>
      <c r="E139" s="46">
        <f t="shared" si="16"/>
        <v>-4895.5234401279449</v>
      </c>
      <c r="F139" s="46">
        <f t="shared" si="16"/>
        <v>-2645.1592821279428</v>
      </c>
    </row>
    <row r="140" spans="2:7" x14ac:dyDescent="0.25">
      <c r="B140" s="38">
        <v>0.25</v>
      </c>
      <c r="C140" s="46">
        <f t="shared" si="16"/>
        <v>-5945.7358656279466</v>
      </c>
      <c r="D140" s="46">
        <f t="shared" si="16"/>
        <v>-4595.6448261279456</v>
      </c>
      <c r="E140" s="46">
        <f t="shared" si="16"/>
        <v>-2795.5234401279449</v>
      </c>
      <c r="F140" s="46">
        <f t="shared" si="16"/>
        <v>2604.8407178720572</v>
      </c>
    </row>
    <row r="141" spans="2:7" x14ac:dyDescent="0.25">
      <c r="B141" s="38">
        <v>0.33</v>
      </c>
      <c r="C141" s="46">
        <f t="shared" si="16"/>
        <v>-5525.7358656279457</v>
      </c>
      <c r="D141" s="46">
        <f t="shared" si="16"/>
        <v>-2915.6448261279447</v>
      </c>
      <c r="E141" s="46">
        <f t="shared" si="16"/>
        <v>564.4765598720569</v>
      </c>
      <c r="F141" s="46">
        <f t="shared" si="16"/>
        <v>11004.840717872063</v>
      </c>
    </row>
    <row r="142" spans="2:7" x14ac:dyDescent="0.25">
      <c r="B142" s="38">
        <v>0.5</v>
      </c>
      <c r="C142" s="46">
        <f t="shared" si="16"/>
        <v>-4633.2358656279466</v>
      </c>
      <c r="D142" s="46">
        <f t="shared" si="16"/>
        <v>654.35517387205437</v>
      </c>
      <c r="E142" s="46">
        <f t="shared" si="16"/>
        <v>7704.4765598720551</v>
      </c>
      <c r="F142" s="46">
        <f t="shared" si="16"/>
        <v>28854.840717872055</v>
      </c>
    </row>
    <row r="144" spans="2:7" x14ac:dyDescent="0.25">
      <c r="B144" s="34"/>
    </row>
  </sheetData>
  <sheetProtection sheet="1" objects="1" scenarios="1"/>
  <mergeCells count="14">
    <mergeCell ref="C120:G120"/>
    <mergeCell ref="D121:G121"/>
    <mergeCell ref="C132:G132"/>
    <mergeCell ref="D133:G133"/>
    <mergeCell ref="B41:F41"/>
    <mergeCell ref="B58:F58"/>
    <mergeCell ref="B72:F72"/>
    <mergeCell ref="C73:F73"/>
    <mergeCell ref="B84:F84"/>
    <mergeCell ref="B96:F96"/>
    <mergeCell ref="C97:F97"/>
    <mergeCell ref="B108:F108"/>
    <mergeCell ref="C109:F109"/>
    <mergeCell ref="C85:F85"/>
  </mergeCells>
  <pageMargins left="0.7" right="0.7" top="0.75" bottom="0.75" header="0.3" footer="0.3"/>
  <pageSetup scale="56" fitToHeight="0" orientation="landscape" verticalDpi="2" r:id="rId1"/>
  <rowBreaks count="2" manualBreakCount="2">
    <brk id="54" max="6" man="1"/>
    <brk id="106" max="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E10" sqref="E10"/>
    </sheetView>
  </sheetViews>
  <sheetFormatPr defaultRowHeight="15" x14ac:dyDescent="0.25"/>
  <cols>
    <col min="1" max="1" width="36.140625" style="60" customWidth="1"/>
    <col min="2" max="2" width="9" style="60" bestFit="1" customWidth="1"/>
    <col min="3" max="3" width="6.5703125" style="60" bestFit="1" customWidth="1"/>
    <col min="4" max="4" width="15.42578125" style="60" bestFit="1" customWidth="1"/>
    <col min="5" max="5" width="25.28515625" style="60" bestFit="1" customWidth="1"/>
    <col min="6" max="6" width="10.5703125" style="60" bestFit="1" customWidth="1"/>
    <col min="7" max="7" width="17.85546875" style="60" bestFit="1" customWidth="1"/>
    <col min="8" max="8" width="27.7109375" style="60" bestFit="1" customWidth="1"/>
    <col min="9" max="16384" width="9.140625" style="60"/>
  </cols>
  <sheetData>
    <row r="1" spans="1:11" x14ac:dyDescent="0.25">
      <c r="J1" s="63" t="s">
        <v>180</v>
      </c>
      <c r="K1" s="63" t="s">
        <v>182</v>
      </c>
    </row>
    <row r="2" spans="1:11" s="31" customFormat="1" x14ac:dyDescent="0.25">
      <c r="A2" s="62" t="s">
        <v>156</v>
      </c>
      <c r="B2" s="62" t="s">
        <v>157</v>
      </c>
      <c r="C2" s="62" t="s">
        <v>158</v>
      </c>
      <c r="D2" s="62" t="s">
        <v>160</v>
      </c>
      <c r="E2" s="62" t="s">
        <v>161</v>
      </c>
      <c r="F2" s="62" t="s">
        <v>159</v>
      </c>
      <c r="G2" s="62" t="s">
        <v>162</v>
      </c>
      <c r="H2" s="62" t="s">
        <v>163</v>
      </c>
      <c r="I2" s="63"/>
      <c r="J2" s="63" t="s">
        <v>181</v>
      </c>
      <c r="K2" s="63" t="s">
        <v>181</v>
      </c>
    </row>
    <row r="3" spans="1:11" s="31" customFormat="1" x14ac:dyDescent="0.25">
      <c r="A3" s="64" t="s">
        <v>166</v>
      </c>
      <c r="B3" s="65">
        <v>116.67</v>
      </c>
      <c r="C3" s="66">
        <v>1</v>
      </c>
      <c r="D3" s="66">
        <v>0.09</v>
      </c>
      <c r="E3" s="66">
        <v>0.57999999999999996</v>
      </c>
      <c r="F3" s="34">
        <f>B3/C3</f>
        <v>116.67</v>
      </c>
      <c r="G3" s="34">
        <f>B3/J3</f>
        <v>0.64816666666666667</v>
      </c>
      <c r="H3" s="34">
        <f>B3/K3</f>
        <v>0.10057758620689655</v>
      </c>
      <c r="J3" s="31">
        <f>D3*C3*2000</f>
        <v>180</v>
      </c>
      <c r="K3" s="31">
        <f>E3*C3*2000</f>
        <v>1160</v>
      </c>
    </row>
    <row r="4" spans="1:11" s="31" customFormat="1" x14ac:dyDescent="0.25">
      <c r="A4" s="64" t="s">
        <v>167</v>
      </c>
      <c r="B4" s="65">
        <v>116.67</v>
      </c>
      <c r="C4" s="66">
        <v>0.85</v>
      </c>
      <c r="D4" s="67">
        <v>0.14000000000000001</v>
      </c>
      <c r="E4" s="66">
        <v>0.61550000000000005</v>
      </c>
      <c r="F4" s="34">
        <f t="shared" ref="F4:F15" si="0">B4/C4</f>
        <v>137.25882352941176</v>
      </c>
      <c r="G4" s="34">
        <f t="shared" ref="G4:G15" si="1">B4/J4</f>
        <v>0.49021008403361338</v>
      </c>
      <c r="H4" s="34">
        <f t="shared" ref="H4:H15" si="2">B4/K4</f>
        <v>0.11150188751373823</v>
      </c>
      <c r="J4" s="31">
        <f t="shared" ref="J4:J15" si="3">D4*C4*2000</f>
        <v>238.00000000000003</v>
      </c>
      <c r="K4" s="31">
        <f t="shared" ref="K4:K15" si="4">E4*C4*2000</f>
        <v>1046.3500000000001</v>
      </c>
    </row>
    <row r="5" spans="1:11" s="31" customFormat="1" x14ac:dyDescent="0.25">
      <c r="A5" s="64" t="s">
        <v>168</v>
      </c>
      <c r="B5" s="65">
        <v>116.67</v>
      </c>
      <c r="C5" s="66">
        <v>0.85</v>
      </c>
      <c r="D5" s="66">
        <v>0.1</v>
      </c>
      <c r="E5" s="66">
        <v>0.53</v>
      </c>
      <c r="F5" s="34">
        <f t="shared" si="0"/>
        <v>137.25882352941176</v>
      </c>
      <c r="G5" s="34">
        <f t="shared" si="1"/>
        <v>0.68629411764705883</v>
      </c>
      <c r="H5" s="34">
        <f t="shared" si="2"/>
        <v>0.12948945615982241</v>
      </c>
      <c r="J5" s="31">
        <f t="shared" si="3"/>
        <v>170</v>
      </c>
      <c r="K5" s="31">
        <f t="shared" si="4"/>
        <v>901</v>
      </c>
    </row>
    <row r="6" spans="1:11" s="31" customFormat="1" x14ac:dyDescent="0.25">
      <c r="A6" s="64" t="s">
        <v>169</v>
      </c>
      <c r="B6" s="65">
        <v>116.67</v>
      </c>
      <c r="C6" s="66">
        <v>0.85</v>
      </c>
      <c r="D6" s="66">
        <v>0.107</v>
      </c>
      <c r="E6" s="66">
        <v>0.56840000000000002</v>
      </c>
      <c r="F6" s="34">
        <f t="shared" si="0"/>
        <v>137.25882352941176</v>
      </c>
      <c r="G6" s="34">
        <f t="shared" si="1"/>
        <v>0.64139637163276531</v>
      </c>
      <c r="H6" s="34">
        <f t="shared" si="2"/>
        <v>0.12074140000827918</v>
      </c>
      <c r="J6" s="31">
        <f t="shared" si="3"/>
        <v>181.89999999999998</v>
      </c>
      <c r="K6" s="31">
        <f t="shared" si="4"/>
        <v>966.28</v>
      </c>
    </row>
    <row r="7" spans="1:11" s="31" customFormat="1" x14ac:dyDescent="0.25">
      <c r="A7" s="64" t="s">
        <v>170</v>
      </c>
      <c r="B7" s="65">
        <v>116.67</v>
      </c>
      <c r="C7" s="66">
        <v>0.85</v>
      </c>
      <c r="D7" s="66">
        <v>0.06</v>
      </c>
      <c r="E7" s="66">
        <v>0.49</v>
      </c>
      <c r="F7" s="34">
        <f t="shared" si="0"/>
        <v>137.25882352941176</v>
      </c>
      <c r="G7" s="34">
        <f t="shared" si="1"/>
        <v>1.1438235294117647</v>
      </c>
      <c r="H7" s="34">
        <f t="shared" si="2"/>
        <v>0.14006002400960385</v>
      </c>
      <c r="J7" s="31">
        <f t="shared" si="3"/>
        <v>102</v>
      </c>
      <c r="K7" s="31">
        <f t="shared" si="4"/>
        <v>833</v>
      </c>
    </row>
    <row r="8" spans="1:11" s="31" customFormat="1" x14ac:dyDescent="0.25">
      <c r="A8" s="64" t="s">
        <v>171</v>
      </c>
      <c r="B8" s="65">
        <v>116.67</v>
      </c>
      <c r="C8" s="66">
        <v>0.85</v>
      </c>
      <c r="D8" s="66">
        <v>7.3999999999999996E-2</v>
      </c>
      <c r="E8" s="66">
        <v>0.52129999999999999</v>
      </c>
      <c r="F8" s="34">
        <f t="shared" si="0"/>
        <v>137.25882352941176</v>
      </c>
      <c r="G8" s="34">
        <f t="shared" si="1"/>
        <v>0.92742448330683624</v>
      </c>
      <c r="H8" s="34">
        <f t="shared" si="2"/>
        <v>0.13165051172972547</v>
      </c>
      <c r="J8" s="31">
        <f t="shared" si="3"/>
        <v>125.8</v>
      </c>
      <c r="K8" s="31">
        <f t="shared" si="4"/>
        <v>886.20999999999992</v>
      </c>
    </row>
    <row r="9" spans="1:11" s="31" customFormat="1" x14ac:dyDescent="0.25">
      <c r="A9" s="64" t="s">
        <v>172</v>
      </c>
      <c r="B9" s="65">
        <v>61.67</v>
      </c>
      <c r="C9" s="66">
        <v>0.5</v>
      </c>
      <c r="D9" s="66">
        <v>0.10199999999999999</v>
      </c>
      <c r="E9" s="66">
        <v>0.53600000000000003</v>
      </c>
      <c r="F9" s="34">
        <f t="shared" si="0"/>
        <v>123.34</v>
      </c>
      <c r="G9" s="34">
        <f t="shared" si="1"/>
        <v>0.60460784313725491</v>
      </c>
      <c r="H9" s="34">
        <f t="shared" si="2"/>
        <v>0.11505597014925373</v>
      </c>
      <c r="J9" s="31">
        <f t="shared" si="3"/>
        <v>102</v>
      </c>
      <c r="K9" s="31">
        <f t="shared" si="4"/>
        <v>536</v>
      </c>
    </row>
    <row r="10" spans="1:11" s="31" customFormat="1" x14ac:dyDescent="0.25">
      <c r="A10" s="64" t="s">
        <v>173</v>
      </c>
      <c r="B10" s="65">
        <v>64.45</v>
      </c>
      <c r="C10" s="66">
        <v>0.5</v>
      </c>
      <c r="D10" s="66">
        <v>0.13900000000000001</v>
      </c>
      <c r="E10" s="66">
        <v>0.61399999999999999</v>
      </c>
      <c r="F10" s="34">
        <f t="shared" si="0"/>
        <v>128.9</v>
      </c>
      <c r="G10" s="34">
        <f t="shared" si="1"/>
        <v>0.46366906474820146</v>
      </c>
      <c r="H10" s="34">
        <f t="shared" si="2"/>
        <v>0.10496742671009772</v>
      </c>
      <c r="J10" s="31">
        <f t="shared" si="3"/>
        <v>139</v>
      </c>
      <c r="K10" s="31">
        <f t="shared" si="4"/>
        <v>614</v>
      </c>
    </row>
    <row r="11" spans="1:11" s="31" customFormat="1" x14ac:dyDescent="0.25">
      <c r="A11" s="64" t="s">
        <v>174</v>
      </c>
      <c r="B11" s="65">
        <f>(6.49/56)*2000</f>
        <v>231.78571428571428</v>
      </c>
      <c r="C11" s="66">
        <v>0.9</v>
      </c>
      <c r="D11" s="66">
        <v>0.08</v>
      </c>
      <c r="E11" s="66">
        <v>0.9</v>
      </c>
      <c r="F11" s="34">
        <f t="shared" si="0"/>
        <v>257.53968253968253</v>
      </c>
      <c r="G11" s="34">
        <f t="shared" si="1"/>
        <v>1.6096230158730156</v>
      </c>
      <c r="H11" s="34">
        <f t="shared" si="2"/>
        <v>0.14307760141093473</v>
      </c>
      <c r="J11" s="31">
        <f t="shared" si="3"/>
        <v>144.00000000000003</v>
      </c>
      <c r="K11" s="31">
        <f t="shared" si="4"/>
        <v>1620</v>
      </c>
    </row>
    <row r="12" spans="1:11" s="31" customFormat="1" x14ac:dyDescent="0.25">
      <c r="A12" s="64" t="s">
        <v>178</v>
      </c>
      <c r="B12" s="65">
        <v>312.5</v>
      </c>
      <c r="C12" s="66">
        <v>0.9</v>
      </c>
      <c r="D12" s="66">
        <v>0.46</v>
      </c>
      <c r="E12" s="66">
        <v>0.78</v>
      </c>
      <c r="F12" s="34">
        <f t="shared" si="0"/>
        <v>347.22222222222223</v>
      </c>
      <c r="G12" s="34">
        <f t="shared" si="1"/>
        <v>0.37741545893719802</v>
      </c>
      <c r="H12" s="34">
        <f t="shared" si="2"/>
        <v>0.22257834757834755</v>
      </c>
      <c r="J12" s="31">
        <f t="shared" si="3"/>
        <v>828.00000000000011</v>
      </c>
      <c r="K12" s="31">
        <f t="shared" si="4"/>
        <v>1404.0000000000002</v>
      </c>
    </row>
    <row r="13" spans="1:11" s="31" customFormat="1" x14ac:dyDescent="0.25">
      <c r="A13" s="64" t="s">
        <v>175</v>
      </c>
      <c r="B13" s="65">
        <v>275</v>
      </c>
      <c r="C13" s="66">
        <v>0.9</v>
      </c>
      <c r="D13" s="66">
        <v>0.25</v>
      </c>
      <c r="E13" s="66">
        <v>0.95</v>
      </c>
      <c r="F13" s="34">
        <f t="shared" si="0"/>
        <v>305.55555555555554</v>
      </c>
      <c r="G13" s="34">
        <f t="shared" si="1"/>
        <v>0.61111111111111116</v>
      </c>
      <c r="H13" s="34">
        <f t="shared" si="2"/>
        <v>0.16081871345029239</v>
      </c>
      <c r="J13" s="31">
        <f t="shared" si="3"/>
        <v>450</v>
      </c>
      <c r="K13" s="31">
        <f t="shared" si="4"/>
        <v>1710</v>
      </c>
    </row>
    <row r="14" spans="1:11" s="31" customFormat="1" x14ac:dyDescent="0.25">
      <c r="A14" s="64" t="s">
        <v>176</v>
      </c>
      <c r="B14" s="65">
        <v>157.5</v>
      </c>
      <c r="C14" s="66">
        <v>0.9</v>
      </c>
      <c r="D14" s="66">
        <v>0.28000000000000003</v>
      </c>
      <c r="E14" s="66">
        <v>0.95</v>
      </c>
      <c r="F14" s="34">
        <f t="shared" si="0"/>
        <v>175</v>
      </c>
      <c r="G14" s="34">
        <f t="shared" si="1"/>
        <v>0.31249999999999994</v>
      </c>
      <c r="H14" s="34">
        <f t="shared" si="2"/>
        <v>9.2105263157894732E-2</v>
      </c>
      <c r="J14" s="31">
        <f t="shared" si="3"/>
        <v>504.00000000000011</v>
      </c>
      <c r="K14" s="31">
        <f t="shared" si="4"/>
        <v>1710</v>
      </c>
    </row>
    <row r="15" spans="1:11" s="31" customFormat="1" x14ac:dyDescent="0.25">
      <c r="A15" s="64" t="s">
        <v>177</v>
      </c>
      <c r="B15" s="65">
        <v>348.6</v>
      </c>
      <c r="C15" s="66">
        <v>0.9</v>
      </c>
      <c r="D15" s="66">
        <v>0.49</v>
      </c>
      <c r="E15" s="66">
        <v>0.84</v>
      </c>
      <c r="F15" s="34">
        <f t="shared" si="0"/>
        <v>387.33333333333337</v>
      </c>
      <c r="G15" s="34">
        <f t="shared" si="1"/>
        <v>0.39523809523809528</v>
      </c>
      <c r="H15" s="34">
        <f t="shared" si="2"/>
        <v>0.23055555555555557</v>
      </c>
      <c r="J15" s="31">
        <f t="shared" si="3"/>
        <v>882</v>
      </c>
      <c r="K15" s="31">
        <f t="shared" si="4"/>
        <v>1512</v>
      </c>
    </row>
    <row r="16" spans="1:11" x14ac:dyDescent="0.25">
      <c r="F16" s="34"/>
      <c r="G16" s="34"/>
      <c r="H16" s="34"/>
    </row>
    <row r="17" spans="1:1" x14ac:dyDescent="0.25">
      <c r="A17" s="60" t="s">
        <v>164</v>
      </c>
    </row>
    <row r="18" spans="1:1" x14ac:dyDescent="0.25">
      <c r="A18" s="44" t="s">
        <v>165</v>
      </c>
    </row>
  </sheetData>
  <sheetProtection sheet="1" objects="1" scenarios="1"/>
  <hyperlinks>
    <hyperlink ref="A18" r:id="rId1"/>
  </hyperlinks>
  <pageMargins left="0.7" right="0.7" top="0.75" bottom="0.75" header="0.3" footer="0.3"/>
  <pageSetup scale="70" orientation="landscape" verticalDpi="2" r:id="rId2"/>
  <ignoredErrors>
    <ignoredError sqref="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Assumptions</vt:lpstr>
      <vt:lpstr>Budget</vt:lpstr>
      <vt:lpstr>Sensitivity</vt:lpstr>
      <vt:lpstr>Feedstuff Comparison</vt:lpstr>
      <vt:lpstr>In-Line Savings Chart</vt:lpstr>
      <vt:lpstr>Individual Savings Chart</vt:lpstr>
      <vt:lpstr>opernote</vt:lpstr>
      <vt:lpstr>Assumptions!Print_Area</vt:lpstr>
      <vt:lpstr>Budget!Print_Area</vt:lpstr>
      <vt:lpstr>'Feedstuff Comparison'!Print_Area</vt:lpstr>
      <vt:lpstr>Sensitivity!Print_Area</vt:lpstr>
    </vt:vector>
  </TitlesOfParts>
  <Company>Louisiana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rpruitt</dc:creator>
  <cp:lastModifiedBy>Jeremy R Pruitt</cp:lastModifiedBy>
  <cp:lastPrinted>2013-05-20T16:20:29Z</cp:lastPrinted>
  <dcterms:created xsi:type="dcterms:W3CDTF">2012-03-05T17:26:03Z</dcterms:created>
  <dcterms:modified xsi:type="dcterms:W3CDTF">2013-12-12T19:29:25Z</dcterms:modified>
</cp:coreProperties>
</file>