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120" yWindow="15" windowWidth="15195" windowHeight="8190"/>
  </bookViews>
  <sheets>
    <sheet name="Sheet1" sheetId="1" r:id="rId1"/>
    <sheet name="Sheet2" sheetId="2" r:id="rId2"/>
  </sheets>
  <definedNames>
    <definedName name="_xlnm.Print_Area" localSheetId="1">Sheet2!$A$1:$H$38</definedName>
  </definedNames>
  <calcPr calcId="125725"/>
</workbook>
</file>

<file path=xl/calcChain.xml><?xml version="1.0" encoding="utf-8"?>
<calcChain xmlns="http://schemas.openxmlformats.org/spreadsheetml/2006/main">
  <c r="B6" i="2"/>
  <c r="H34" i="1"/>
  <c r="H35"/>
  <c r="H36"/>
  <c r="H37"/>
  <c r="H38"/>
  <c r="H39"/>
  <c r="H40"/>
  <c r="H41"/>
  <c r="H42"/>
  <c r="H33"/>
  <c r="I34"/>
  <c r="I35"/>
  <c r="D27" i="2" s="1"/>
  <c r="I36" i="1"/>
  <c r="I37"/>
  <c r="D29" i="2" s="1"/>
  <c r="I38" i="1"/>
  <c r="I39"/>
  <c r="I40"/>
  <c r="I41"/>
  <c r="I42"/>
  <c r="I33"/>
  <c r="D25" i="2" s="1"/>
  <c r="D26"/>
  <c r="D28"/>
  <c r="E5"/>
  <c r="C5"/>
  <c r="B7"/>
  <c r="B9"/>
  <c r="B11"/>
  <c r="B12"/>
  <c r="B13"/>
  <c r="B14"/>
  <c r="B15"/>
  <c r="B16"/>
  <c r="B17"/>
  <c r="B18"/>
  <c r="B19"/>
  <c r="B20"/>
  <c r="B21"/>
  <c r="B22"/>
  <c r="B23"/>
  <c r="B24"/>
  <c r="B25"/>
  <c r="B26"/>
  <c r="B27"/>
  <c r="B28"/>
  <c r="B29"/>
  <c r="B5"/>
  <c r="J34" i="1"/>
  <c r="J35"/>
  <c r="J36"/>
  <c r="J37"/>
  <c r="J38"/>
  <c r="J39"/>
  <c r="J40"/>
  <c r="J41"/>
  <c r="J42"/>
  <c r="J33"/>
  <c r="H28"/>
  <c r="S7"/>
  <c r="T7"/>
  <c r="U7"/>
  <c r="V7"/>
  <c r="S8"/>
  <c r="T8"/>
  <c r="U8"/>
  <c r="V8"/>
  <c r="R7"/>
  <c r="R8"/>
  <c r="W6"/>
  <c r="W8" s="1"/>
  <c r="AF6"/>
  <c r="AF7" s="1"/>
  <c r="AE6"/>
  <c r="AE7" s="1"/>
  <c r="AD6"/>
  <c r="AD8" s="1"/>
  <c r="AC6"/>
  <c r="AC7" s="1"/>
  <c r="AB6"/>
  <c r="AB8" s="1"/>
  <c r="AA6"/>
  <c r="AA7" s="1"/>
  <c r="Z6"/>
  <c r="Z8" s="1"/>
  <c r="Y6"/>
  <c r="Y7" s="1"/>
  <c r="X6"/>
  <c r="X8" s="1"/>
  <c r="H14"/>
  <c r="C12"/>
  <c r="C23"/>
  <c r="I32"/>
  <c r="D24" i="2"/>
  <c r="I31" i="1"/>
  <c r="D23" i="2"/>
  <c r="I30" i="1"/>
  <c r="D22" i="2"/>
  <c r="I29" i="1"/>
  <c r="D21" i="2"/>
  <c r="I28" i="1"/>
  <c r="D20" i="2"/>
  <c r="I27" i="1"/>
  <c r="D19" i="2"/>
  <c r="I26" i="1"/>
  <c r="D18" i="2"/>
  <c r="I25" i="1"/>
  <c r="D17" i="2"/>
  <c r="I24" i="1"/>
  <c r="D16" i="2"/>
  <c r="I23" i="1"/>
  <c r="D15" i="2"/>
  <c r="I22" i="1"/>
  <c r="D14" i="2"/>
  <c r="I21" i="1"/>
  <c r="D13" i="2"/>
  <c r="I20" i="1"/>
  <c r="D12" i="2"/>
  <c r="I19" i="1"/>
  <c r="D11" i="2"/>
  <c r="I18" i="1"/>
  <c r="D10" i="2"/>
  <c r="I17" i="1"/>
  <c r="D9" i="2"/>
  <c r="I16" i="1"/>
  <c r="D8" i="2"/>
  <c r="I15" i="1"/>
  <c r="D7" i="2"/>
  <c r="I14" i="1"/>
  <c r="D6" i="2"/>
  <c r="I13" i="1"/>
  <c r="D5" i="2"/>
  <c r="H32" i="1"/>
  <c r="J32"/>
  <c r="H31"/>
  <c r="J31"/>
  <c r="H30"/>
  <c r="J30"/>
  <c r="H29"/>
  <c r="J29"/>
  <c r="J28"/>
  <c r="H27"/>
  <c r="J27" s="1"/>
  <c r="H26"/>
  <c r="J26" s="1"/>
  <c r="H25"/>
  <c r="J25" s="1"/>
  <c r="H24"/>
  <c r="J24" s="1"/>
  <c r="H23"/>
  <c r="J23" s="1"/>
  <c r="H22"/>
  <c r="J22" s="1"/>
  <c r="H21"/>
  <c r="J21" s="1"/>
  <c r="H20"/>
  <c r="J20" s="1"/>
  <c r="H19"/>
  <c r="J19" s="1"/>
  <c r="H18"/>
  <c r="J18" s="1"/>
  <c r="H17"/>
  <c r="J17" s="1"/>
  <c r="H16"/>
  <c r="J16" s="1"/>
  <c r="H15"/>
  <c r="J15" s="1"/>
  <c r="J14"/>
  <c r="H13"/>
  <c r="J13"/>
  <c r="D7"/>
  <c r="E7"/>
  <c r="F7"/>
  <c r="G7"/>
  <c r="H7"/>
  <c r="I7"/>
  <c r="J7"/>
  <c r="K7"/>
  <c r="L7"/>
  <c r="M7"/>
  <c r="N7"/>
  <c r="O7"/>
  <c r="P7"/>
  <c r="Q7"/>
  <c r="D8"/>
  <c r="E8"/>
  <c r="F8"/>
  <c r="G8"/>
  <c r="H8"/>
  <c r="I8"/>
  <c r="J8"/>
  <c r="K8"/>
  <c r="L8"/>
  <c r="M8"/>
  <c r="N8"/>
  <c r="O8"/>
  <c r="P8"/>
  <c r="Q8"/>
  <c r="C8"/>
  <c r="C7"/>
  <c r="B10" i="2"/>
  <c r="B8"/>
  <c r="C6"/>
  <c r="C7" s="1"/>
  <c r="Y8" i="1"/>
  <c r="Z7"/>
  <c r="AE8"/>
  <c r="AD7"/>
  <c r="AF8"/>
  <c r="C21"/>
  <c r="C14"/>
  <c r="C13"/>
  <c r="D12"/>
  <c r="D15" s="1"/>
  <c r="C19"/>
  <c r="C17"/>
  <c r="C15"/>
  <c r="E12"/>
  <c r="C22"/>
  <c r="C20"/>
  <c r="C18"/>
  <c r="C16"/>
  <c r="D19"/>
  <c r="D23"/>
  <c r="D16"/>
  <c r="D20"/>
  <c r="D13"/>
  <c r="E14"/>
  <c r="F6" i="2"/>
  <c r="E16" i="1"/>
  <c r="F8" i="2"/>
  <c r="E18" i="1"/>
  <c r="F10" i="2"/>
  <c r="E20" i="1"/>
  <c r="F12" i="2"/>
  <c r="E22" i="1"/>
  <c r="F14" i="2"/>
  <c r="E24" i="1"/>
  <c r="F16" i="2"/>
  <c r="E26" i="1"/>
  <c r="F18" i="2"/>
  <c r="E28" i="1"/>
  <c r="F20" i="2"/>
  <c r="E13" i="1"/>
  <c r="F5" i="2"/>
  <c r="E15" i="1"/>
  <c r="F7" i="2"/>
  <c r="E17" i="1"/>
  <c r="F9" i="2"/>
  <c r="E19" i="1"/>
  <c r="F11" i="2"/>
  <c r="E21" i="1"/>
  <c r="F13" i="2"/>
  <c r="E23" i="1"/>
  <c r="F15" i="2"/>
  <c r="E25" i="1"/>
  <c r="F17" i="2"/>
  <c r="E27" i="1"/>
  <c r="F19" i="2"/>
  <c r="G7" l="1"/>
  <c r="H7" s="1"/>
  <c r="C8"/>
  <c r="G6"/>
  <c r="H6" s="1"/>
  <c r="G5"/>
  <c r="H5" s="1"/>
  <c r="D22" i="1"/>
  <c r="D18"/>
  <c r="D14"/>
  <c r="D21"/>
  <c r="D17"/>
  <c r="AB7"/>
  <c r="AC8"/>
  <c r="X7"/>
  <c r="W7"/>
  <c r="AA8"/>
  <c r="C9" i="2" l="1"/>
  <c r="G8"/>
  <c r="H8" s="1"/>
  <c r="G9" l="1"/>
  <c r="H9" s="1"/>
  <c r="C10"/>
  <c r="C11" l="1"/>
  <c r="G10"/>
  <c r="H10" s="1"/>
  <c r="C12" l="1"/>
  <c r="G11"/>
  <c r="H11" s="1"/>
  <c r="G12" l="1"/>
  <c r="H12" s="1"/>
  <c r="C13"/>
  <c r="G13" l="1"/>
  <c r="H13" s="1"/>
  <c r="C14"/>
  <c r="C15" l="1"/>
  <c r="G14"/>
  <c r="H14" s="1"/>
  <c r="C16" l="1"/>
  <c r="G15"/>
  <c r="H15" s="1"/>
  <c r="G16" l="1"/>
  <c r="H16" s="1"/>
  <c r="C17"/>
  <c r="G17" l="1"/>
  <c r="H17" s="1"/>
  <c r="C18"/>
  <c r="G18" l="1"/>
  <c r="H18" s="1"/>
  <c r="C19"/>
  <c r="C20" l="1"/>
  <c r="G19"/>
  <c r="H19" s="1"/>
  <c r="G20" l="1"/>
  <c r="H20" s="1"/>
  <c r="C21"/>
  <c r="C22" l="1"/>
  <c r="G21"/>
  <c r="H21" s="1"/>
  <c r="G22" l="1"/>
  <c r="H22" s="1"/>
  <c r="C23"/>
  <c r="G23" l="1"/>
  <c r="H23" s="1"/>
  <c r="C24"/>
  <c r="G24" l="1"/>
  <c r="H24" s="1"/>
  <c r="C25"/>
  <c r="C26" l="1"/>
  <c r="G25"/>
  <c r="H25" s="1"/>
  <c r="G26" l="1"/>
  <c r="H26" s="1"/>
  <c r="C27"/>
  <c r="G27" l="1"/>
  <c r="H27" s="1"/>
  <c r="C28"/>
  <c r="G28" l="1"/>
  <c r="H28" s="1"/>
  <c r="C29"/>
  <c r="G29" s="1"/>
  <c r="H29" s="1"/>
</calcChain>
</file>

<file path=xl/sharedStrings.xml><?xml version="1.0" encoding="utf-8"?>
<sst xmlns="http://schemas.openxmlformats.org/spreadsheetml/2006/main" count="109" uniqueCount="63">
  <si>
    <t>Cost of House:</t>
  </si>
  <si>
    <t>Interest Rate:</t>
  </si>
  <si>
    <t>Principal Pmt</t>
  </si>
  <si>
    <t>Interest Pmt</t>
  </si>
  <si>
    <t>Year 1</t>
  </si>
  <si>
    <t>Year 2</t>
  </si>
  <si>
    <t>Year 3</t>
  </si>
  <si>
    <t>Year 4</t>
  </si>
  <si>
    <t>Year 5</t>
  </si>
  <si>
    <t>Year 6</t>
  </si>
  <si>
    <t>Year 7</t>
  </si>
  <si>
    <t>Year 8</t>
  </si>
  <si>
    <t>Year 9</t>
  </si>
  <si>
    <t>Year 10</t>
  </si>
  <si>
    <t>Year 11</t>
  </si>
  <si>
    <t>Year 12</t>
  </si>
  <si>
    <t>Year 13</t>
  </si>
  <si>
    <t>Year 14</t>
  </si>
  <si>
    <t>Year 15</t>
  </si>
  <si>
    <t>Year 16</t>
  </si>
  <si>
    <t>Year 17</t>
  </si>
  <si>
    <t>GDS 150% DB</t>
  </si>
  <si>
    <t>GDS SL</t>
  </si>
  <si>
    <t>ADS  Straight Line</t>
  </si>
  <si>
    <t>Interest</t>
  </si>
  <si>
    <t>Section 179 Deduction</t>
  </si>
  <si>
    <t>Depreciation</t>
  </si>
  <si>
    <t>Inflationary Percentage</t>
  </si>
  <si>
    <t>Principal Payment</t>
  </si>
  <si>
    <t>Interest Payment</t>
  </si>
  <si>
    <t>Total Loan Payment</t>
  </si>
  <si>
    <t>Total Expenses</t>
  </si>
  <si>
    <t>Total Revenue</t>
  </si>
  <si>
    <t>Production Costs</t>
  </si>
  <si>
    <t>Tax Depreciation Costs</t>
  </si>
  <si>
    <t>Loan Repayment Schedule</t>
  </si>
  <si>
    <t>Year 18</t>
  </si>
  <si>
    <t>Year 19</t>
  </si>
  <si>
    <t>Year 20</t>
  </si>
  <si>
    <t>Year 21</t>
  </si>
  <si>
    <t>Year 22</t>
  </si>
  <si>
    <t>Year 23</t>
  </si>
  <si>
    <t>Year 24</t>
  </si>
  <si>
    <t>Year 25</t>
  </si>
  <si>
    <t>Year 26</t>
  </si>
  <si>
    <t>Year 27</t>
  </si>
  <si>
    <t>Year 28</t>
  </si>
  <si>
    <t>Year 29</t>
  </si>
  <si>
    <t>Year 30</t>
  </si>
  <si>
    <t>Change in Taxable Income</t>
  </si>
  <si>
    <t>Address comments/questions to</t>
  </si>
  <si>
    <t>J. Ross Pruitt, Ph.D.</t>
  </si>
  <si>
    <t>Extension Agricultural Economist</t>
  </si>
  <si>
    <t>Department of Agricultural Economics and Agribusiness, Louisiana State University Agricultural Center</t>
  </si>
  <si>
    <t xml:space="preserve">voice:  (225) 578-2719  ---  email: </t>
  </si>
  <si>
    <t>rpruitt@agcenter.lsu.edu</t>
  </si>
  <si>
    <t>Number of Houses:</t>
  </si>
  <si>
    <t>Length of Loan:</t>
  </si>
  <si>
    <t>Percentage  Financed:</t>
  </si>
  <si>
    <t>Size of House:</t>
  </si>
  <si>
    <t>Revenue per House:</t>
  </si>
  <si>
    <t>Cost of Production per House:</t>
  </si>
  <si>
    <t>510' by 43'</t>
  </si>
</sst>
</file>

<file path=xl/styles.xml><?xml version="1.0" encoding="utf-8"?>
<styleSheet xmlns="http://schemas.openxmlformats.org/spreadsheetml/2006/main">
  <numFmts count="5">
    <numFmt numFmtId="8" formatCode="&quot;$&quot;#,##0.00_);[Red]\(&quot;$&quot;#,##0.00\)"/>
    <numFmt numFmtId="44" formatCode="_(&quot;$&quot;* #,##0.00_);_(&quot;$&quot;* \(#,##0.00\);_(&quot;$&quot;* &quot;-&quot;??_);_(@_)"/>
    <numFmt numFmtId="43" formatCode="_(* #,##0.00_);_(* \(#,##0.00\);_(* &quot;-&quot;??_);_(@_)"/>
    <numFmt numFmtId="164" formatCode="&quot;$&quot;#,##0.00"/>
    <numFmt numFmtId="165" formatCode="&quot;$&quot;#,##0"/>
  </numFmts>
  <fonts count="8">
    <font>
      <sz val="11"/>
      <color theme="1"/>
      <name val="Calibri"/>
      <family val="2"/>
      <scheme val="minor"/>
    </font>
    <font>
      <b/>
      <sz val="11"/>
      <name val="Arial"/>
      <family val="2"/>
    </font>
    <font>
      <sz val="10"/>
      <name val="Arial"/>
      <family val="2"/>
    </font>
    <font>
      <sz val="11"/>
      <name val="Arial"/>
      <family val="2"/>
    </font>
    <font>
      <sz val="11"/>
      <color theme="1"/>
      <name val="Calibri"/>
      <family val="2"/>
      <scheme val="minor"/>
    </font>
    <font>
      <sz val="11"/>
      <color theme="0"/>
      <name val="Calibri"/>
      <family val="2"/>
      <scheme val="minor"/>
    </font>
    <font>
      <u/>
      <sz val="11"/>
      <color theme="10"/>
      <name val="Calibri"/>
      <family val="2"/>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top/>
      <bottom style="thin">
        <color indexed="64"/>
      </bottom>
      <diagonal/>
    </border>
  </borders>
  <cellStyleXfs count="5">
    <xf numFmtId="0" fontId="0" fillId="0" borderId="0"/>
    <xf numFmtId="43" fontId="4" fillId="0" borderId="0" applyFont="0" applyFill="0" applyBorder="0" applyAlignment="0" applyProtection="0"/>
    <xf numFmtId="44" fontId="4" fillId="0" borderId="0" applyFont="0" applyFill="0" applyBorder="0" applyAlignment="0" applyProtection="0"/>
    <xf numFmtId="0" fontId="6" fillId="0" borderId="0" applyNumberFormat="0" applyFill="0" applyBorder="0" applyAlignment="0" applyProtection="0">
      <alignment vertical="top"/>
      <protection locked="0"/>
    </xf>
    <xf numFmtId="9" fontId="4" fillId="0" borderId="0" applyFont="0" applyFill="0" applyBorder="0" applyAlignment="0" applyProtection="0"/>
  </cellStyleXfs>
  <cellXfs count="41">
    <xf numFmtId="0" fontId="0" fillId="0" borderId="0" xfId="0"/>
    <xf numFmtId="165" fontId="0" fillId="2" borderId="0" xfId="0" applyNumberFormat="1" applyFill="1" applyProtection="1">
      <protection locked="0"/>
    </xf>
    <xf numFmtId="0" fontId="0" fillId="2" borderId="0" xfId="0" applyFill="1" applyProtection="1">
      <protection locked="0"/>
    </xf>
    <xf numFmtId="10" fontId="4" fillId="2" borderId="0" xfId="4" applyNumberFormat="1" applyFont="1" applyFill="1" applyProtection="1">
      <protection locked="0"/>
    </xf>
    <xf numFmtId="9" fontId="4" fillId="2" borderId="0" xfId="4" applyFont="1" applyFill="1" applyProtection="1">
      <protection locked="0"/>
    </xf>
    <xf numFmtId="165" fontId="4" fillId="2" borderId="0" xfId="2" applyNumberFormat="1" applyFont="1" applyFill="1" applyProtection="1">
      <protection locked="0"/>
    </xf>
    <xf numFmtId="0" fontId="0" fillId="2" borderId="0" xfId="0" applyFill="1" applyAlignment="1" applyProtection="1">
      <alignment horizontal="right"/>
      <protection locked="0"/>
    </xf>
    <xf numFmtId="0" fontId="7" fillId="2" borderId="0" xfId="0" applyFont="1" applyFill="1" applyProtection="1">
      <protection locked="0"/>
    </xf>
    <xf numFmtId="0" fontId="0" fillId="3" borderId="0" xfId="0" applyFill="1"/>
    <xf numFmtId="2" fontId="5" fillId="3" borderId="0" xfId="0" applyNumberFormat="1" applyFont="1" applyFill="1"/>
    <xf numFmtId="0" fontId="5" fillId="3" borderId="0" xfId="0" applyFont="1" applyFill="1"/>
    <xf numFmtId="2" fontId="7" fillId="3" borderId="1" xfId="0" applyNumberFormat="1" applyFont="1" applyFill="1" applyBorder="1"/>
    <xf numFmtId="0" fontId="0" fillId="3" borderId="1" xfId="0" applyFill="1" applyBorder="1"/>
    <xf numFmtId="44" fontId="0" fillId="3" borderId="1" xfId="0" applyNumberFormat="1" applyFill="1" applyBorder="1"/>
    <xf numFmtId="44" fontId="4" fillId="3" borderId="0" xfId="2" applyFont="1" applyFill="1"/>
    <xf numFmtId="44" fontId="0" fillId="3" borderId="0" xfId="0" applyNumberFormat="1" applyFill="1"/>
    <xf numFmtId="0" fontId="1" fillId="3" borderId="0" xfId="0" applyFont="1" applyFill="1" applyProtection="1"/>
    <xf numFmtId="0" fontId="2" fillId="3" borderId="0" xfId="0" applyFont="1" applyFill="1" applyProtection="1"/>
    <xf numFmtId="0" fontId="3" fillId="3" borderId="0" xfId="0" applyFont="1" applyFill="1" applyProtection="1"/>
    <xf numFmtId="0" fontId="2" fillId="3" borderId="2" xfId="0" applyFont="1" applyFill="1" applyBorder="1" applyProtection="1"/>
    <xf numFmtId="0" fontId="2" fillId="3" borderId="3" xfId="0" applyFont="1" applyFill="1" applyBorder="1" applyProtection="1"/>
    <xf numFmtId="0" fontId="3" fillId="3" borderId="3" xfId="0" applyFont="1" applyFill="1" applyBorder="1" applyProtection="1"/>
    <xf numFmtId="0" fontId="2" fillId="3" borderId="4" xfId="0" applyFont="1" applyFill="1" applyBorder="1" applyProtection="1"/>
    <xf numFmtId="0" fontId="2" fillId="3" borderId="0" xfId="0" applyFont="1" applyFill="1" applyBorder="1" applyProtection="1"/>
    <xf numFmtId="0" fontId="3" fillId="3" borderId="0" xfId="0" applyFont="1" applyFill="1" applyBorder="1" applyProtection="1"/>
    <xf numFmtId="0" fontId="2" fillId="3" borderId="5" xfId="0" applyFont="1" applyFill="1" applyBorder="1" applyProtection="1"/>
    <xf numFmtId="0" fontId="2" fillId="3" borderId="1" xfId="0" applyFont="1" applyFill="1" applyBorder="1" applyProtection="1"/>
    <xf numFmtId="0" fontId="6" fillId="3" borderId="1" xfId="3" applyFill="1" applyBorder="1" applyAlignment="1" applyProtection="1"/>
    <xf numFmtId="0" fontId="3" fillId="3" borderId="1" xfId="0" applyFont="1" applyFill="1" applyBorder="1" applyProtection="1"/>
    <xf numFmtId="0" fontId="3" fillId="3" borderId="0" xfId="0" applyFont="1" applyFill="1" applyBorder="1" applyAlignment="1" applyProtection="1">
      <alignment horizontal="center"/>
    </xf>
    <xf numFmtId="43" fontId="3" fillId="3" borderId="6" xfId="1" applyFont="1" applyFill="1" applyBorder="1" applyProtection="1"/>
    <xf numFmtId="43" fontId="3" fillId="3" borderId="7" xfId="1" applyFont="1" applyFill="1" applyBorder="1" applyProtection="1"/>
    <xf numFmtId="43" fontId="3" fillId="3" borderId="8" xfId="1" applyFont="1" applyFill="1" applyBorder="1" applyProtection="1"/>
    <xf numFmtId="8" fontId="0" fillId="3" borderId="0" xfId="0" applyNumberFormat="1" applyFill="1"/>
    <xf numFmtId="2" fontId="0" fillId="3" borderId="0" xfId="0" applyNumberFormat="1" applyFill="1"/>
    <xf numFmtId="165" fontId="0" fillId="3" borderId="0" xfId="0" applyNumberFormat="1" applyFill="1"/>
    <xf numFmtId="164" fontId="0" fillId="3" borderId="0" xfId="0" applyNumberFormat="1" applyFill="1"/>
    <xf numFmtId="10" fontId="4" fillId="3" borderId="0" xfId="4" applyNumberFormat="1" applyFont="1" applyFill="1"/>
    <xf numFmtId="10" fontId="5" fillId="3" borderId="0" xfId="4" applyNumberFormat="1" applyFont="1" applyFill="1"/>
    <xf numFmtId="9" fontId="5" fillId="3" borderId="0" xfId="4" applyFont="1" applyFill="1"/>
    <xf numFmtId="0" fontId="0" fillId="3" borderId="9" xfId="0" applyFill="1" applyBorder="1" applyAlignment="1">
      <alignment horizont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www.lsuagcenter.com/" TargetMode="External"/></Relationships>
</file>

<file path=xl/drawings/drawing1.xml><?xml version="1.0" encoding="utf-8"?>
<xdr:wsDr xmlns:xdr="http://schemas.openxmlformats.org/drawingml/2006/spreadsheetDrawing" xmlns:a="http://schemas.openxmlformats.org/drawingml/2006/main">
  <xdr:twoCellAnchor>
    <xdr:from>
      <xdr:col>0</xdr:col>
      <xdr:colOff>264794</xdr:colOff>
      <xdr:row>29</xdr:row>
      <xdr:rowOff>9525</xdr:rowOff>
    </xdr:from>
    <xdr:to>
      <xdr:col>5</xdr:col>
      <xdr:colOff>352425</xdr:colOff>
      <xdr:row>38</xdr:row>
      <xdr:rowOff>152400</xdr:rowOff>
    </xdr:to>
    <xdr:sp macro="" textlink="">
      <xdr:nvSpPr>
        <xdr:cNvPr id="2" name="TextBox 1"/>
        <xdr:cNvSpPr txBox="1"/>
      </xdr:nvSpPr>
      <xdr:spPr>
        <a:xfrm>
          <a:off x="264794" y="4953000"/>
          <a:ext cx="5307331" cy="1857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en-US" sz="1100" u="sng">
              <a:solidFill>
                <a:schemeClr val="dk1"/>
              </a:solidFill>
              <a:effectLst/>
              <a:latin typeface="+mn-lt"/>
              <a:ea typeface="+mn-ea"/>
              <a:cs typeface="+mn-cs"/>
            </a:rPr>
            <a:t>The information provided in this document is hypothetical and for informational and educational purposes only. It should not be considered as a recommendation for any specific action. Nothing in this document should be taken to replace the advice provided by a qualified tax professional, and the authors and their employers do not warrant or represent that the information contained in this document is complete or accurate.  Nothing in this document should be taken as specific to a particular individual’s situation nor should it be interpreted as accounting, legal or tax advice. Tax laws are complex and change frequently, and a qualified tax professional should be consulted before taking any action.</a:t>
          </a:r>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38100</xdr:colOff>
      <xdr:row>29</xdr:row>
      <xdr:rowOff>123825</xdr:rowOff>
    </xdr:from>
    <xdr:to>
      <xdr:col>5</xdr:col>
      <xdr:colOff>28575</xdr:colOff>
      <xdr:row>38</xdr:row>
      <xdr:rowOff>9525</xdr:rowOff>
    </xdr:to>
    <xdr:sp macro="" textlink="">
      <xdr:nvSpPr>
        <xdr:cNvPr id="2" name="TextBox 1"/>
        <xdr:cNvSpPr txBox="1"/>
      </xdr:nvSpPr>
      <xdr:spPr>
        <a:xfrm>
          <a:off x="38100" y="5657850"/>
          <a:ext cx="5648325" cy="1600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u="sng">
              <a:solidFill>
                <a:schemeClr val="dk1"/>
              </a:solidFill>
              <a:latin typeface="+mn-lt"/>
              <a:ea typeface="+mn-ea"/>
              <a:cs typeface="+mn-cs"/>
            </a:rPr>
            <a:t>The information provided in this document is hypothetical and for informational and educational purposes only. It should not be considered as a recommendation for any specific action. Nothing in this document should be taken to replace the advice provided by a qualified tax professional, and the authors and their employers do not warrant or represent that the information contained in this document is complete or accurate.  Nothing in this document should be taken as specific to a particular individual’s situation nor should it be interpreted as accounting, legal or tax advice. Tax laws are complex and change frequently, and a qualified tax professional should be consulted before taking any action.</a:t>
          </a:r>
          <a:endParaRPr lang="en-US" sz="1100">
            <a:solidFill>
              <a:schemeClr val="dk1"/>
            </a:solidFill>
            <a:latin typeface="+mn-lt"/>
            <a:ea typeface="+mn-ea"/>
            <a:cs typeface="+mn-cs"/>
          </a:endParaRPr>
        </a:p>
        <a:p>
          <a:endParaRPr lang="en-US" sz="1100"/>
        </a:p>
      </xdr:txBody>
    </xdr:sp>
    <xdr:clientData/>
  </xdr:twoCellAnchor>
  <xdr:twoCellAnchor editAs="oneCell">
    <xdr:from>
      <xdr:col>5</xdr:col>
      <xdr:colOff>480060</xdr:colOff>
      <xdr:row>30</xdr:row>
      <xdr:rowOff>15240</xdr:rowOff>
    </xdr:from>
    <xdr:to>
      <xdr:col>7</xdr:col>
      <xdr:colOff>708660</xdr:colOff>
      <xdr:row>36</xdr:row>
      <xdr:rowOff>83820</xdr:rowOff>
    </xdr:to>
    <xdr:pic>
      <xdr:nvPicPr>
        <xdr:cNvPr id="2053" name="Picture 2" descr="AgCenter logo.jpg">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xmlns="" val="0"/>
            </a:ext>
          </a:extLst>
        </a:blip>
        <a:srcRect/>
        <a:stretch>
          <a:fillRect/>
        </a:stretch>
      </xdr:blipFill>
      <xdr:spPr bwMode="auto">
        <a:xfrm>
          <a:off x="6309360" y="5509260"/>
          <a:ext cx="2065020" cy="11658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rpruitt@agcenter.lsu.edu?subject=Poultry%20Depreciation%20Worksheet" TargetMode="External"/></Relationships>
</file>

<file path=xl/worksheets/sheet1.xml><?xml version="1.0" encoding="utf-8"?>
<worksheet xmlns="http://schemas.openxmlformats.org/spreadsheetml/2006/main" xmlns:r="http://schemas.openxmlformats.org/officeDocument/2006/relationships">
  <dimension ref="B1:AF45"/>
  <sheetViews>
    <sheetView tabSelected="1" topLeftCell="A21" workbookViewId="0">
      <selection activeCell="F1" sqref="F1"/>
    </sheetView>
  </sheetViews>
  <sheetFormatPr defaultColWidth="9.140625" defaultRowHeight="15"/>
  <cols>
    <col min="1" max="1" width="9.140625" style="8"/>
    <col min="2" max="2" width="18.42578125" style="8" customWidth="1"/>
    <col min="3" max="3" width="12.42578125" style="8" bestFit="1" customWidth="1"/>
    <col min="4" max="4" width="10.5703125" style="8" bestFit="1" customWidth="1"/>
    <col min="5" max="5" width="27.7109375" style="8" bestFit="1" customWidth="1"/>
    <col min="6" max="6" width="11.5703125" style="8" bestFit="1" customWidth="1"/>
    <col min="7" max="7" width="16.5703125" style="8" bestFit="1" customWidth="1"/>
    <col min="8" max="8" width="17.28515625" style="8" bestFit="1" customWidth="1"/>
    <col min="9" max="9" width="16.42578125" style="8" bestFit="1" customWidth="1"/>
    <col min="10" max="10" width="18.5703125" style="8" customWidth="1"/>
    <col min="11" max="11" width="18.5703125" style="8" hidden="1" customWidth="1"/>
    <col min="12" max="17" width="10.5703125" style="8" bestFit="1" customWidth="1"/>
    <col min="18" max="22" width="11.5703125" style="8" bestFit="1" customWidth="1"/>
    <col min="23" max="16384" width="9.140625" style="8"/>
  </cols>
  <sheetData>
    <row r="1" spans="2:32">
      <c r="B1" s="8" t="s">
        <v>0</v>
      </c>
      <c r="C1" s="1">
        <v>150000</v>
      </c>
      <c r="E1" s="8" t="s">
        <v>59</v>
      </c>
      <c r="F1" s="6" t="s">
        <v>62</v>
      </c>
    </row>
    <row r="2" spans="2:32">
      <c r="B2" s="8" t="s">
        <v>56</v>
      </c>
      <c r="C2" s="2">
        <v>1</v>
      </c>
      <c r="E2" s="8" t="s">
        <v>60</v>
      </c>
      <c r="F2" s="1">
        <v>39750</v>
      </c>
    </row>
    <row r="3" spans="2:32">
      <c r="B3" s="8" t="s">
        <v>1</v>
      </c>
      <c r="C3" s="3">
        <v>7.4999999999999997E-2</v>
      </c>
      <c r="E3" s="8" t="s">
        <v>61</v>
      </c>
      <c r="F3" s="5">
        <v>17000</v>
      </c>
    </row>
    <row r="4" spans="2:32">
      <c r="B4" s="8" t="s">
        <v>57</v>
      </c>
      <c r="C4" s="2">
        <v>20</v>
      </c>
      <c r="E4" s="8" t="s">
        <v>27</v>
      </c>
      <c r="F4" s="3">
        <v>2.5000000000000001E-2</v>
      </c>
    </row>
    <row r="5" spans="2:32" ht="14.25" customHeight="1">
      <c r="B5" s="8" t="s">
        <v>58</v>
      </c>
      <c r="C5" s="4">
        <v>1</v>
      </c>
      <c r="E5" s="8" t="s">
        <v>25</v>
      </c>
      <c r="F5" s="1">
        <v>0</v>
      </c>
    </row>
    <row r="6" spans="2:32" ht="13.5" hidden="1" customHeight="1">
      <c r="C6" s="8">
        <v>1</v>
      </c>
      <c r="D6" s="8">
        <v>2</v>
      </c>
      <c r="E6" s="8">
        <v>3</v>
      </c>
      <c r="F6" s="8">
        <v>4</v>
      </c>
      <c r="G6" s="8">
        <v>5</v>
      </c>
      <c r="H6" s="8">
        <v>6</v>
      </c>
      <c r="I6" s="8">
        <v>7</v>
      </c>
      <c r="J6" s="8">
        <v>8</v>
      </c>
      <c r="K6" s="8">
        <v>9</v>
      </c>
      <c r="L6" s="8">
        <v>10</v>
      </c>
      <c r="M6" s="8">
        <v>11</v>
      </c>
      <c r="N6" s="8">
        <v>12</v>
      </c>
      <c r="O6" s="8">
        <v>13</v>
      </c>
      <c r="P6" s="8">
        <v>14</v>
      </c>
      <c r="Q6" s="8">
        <v>15</v>
      </c>
      <c r="R6" s="8">
        <v>16</v>
      </c>
      <c r="S6" s="8">
        <v>17</v>
      </c>
      <c r="T6" s="8">
        <v>18</v>
      </c>
      <c r="U6" s="8">
        <v>19</v>
      </c>
      <c r="V6" s="8">
        <v>20</v>
      </c>
      <c r="W6" s="8" t="str">
        <f>IF($C$4&gt;20,21,"")</f>
        <v/>
      </c>
      <c r="X6" s="8" t="str">
        <f>IF($C$4&gt;20,22,"")</f>
        <v/>
      </c>
      <c r="Y6" s="8" t="str">
        <f>IF($C$4&gt;20,23,"")</f>
        <v/>
      </c>
      <c r="Z6" s="8" t="str">
        <f>IF($C$4&gt;20,24,"")</f>
        <v/>
      </c>
      <c r="AA6" s="8" t="str">
        <f>IF($C$4&gt;20,25,"")</f>
        <v/>
      </c>
      <c r="AB6" s="8" t="str">
        <f>IF($C$4&gt;20,26,"")</f>
        <v/>
      </c>
      <c r="AC6" s="8" t="str">
        <f>IF($C$4&gt;20,27,"")</f>
        <v/>
      </c>
      <c r="AD6" s="8" t="str">
        <f>IF($C$4&gt;20,28,"")</f>
        <v/>
      </c>
      <c r="AE6" s="8" t="str">
        <f>IF($C$4&gt;20,29,"")</f>
        <v/>
      </c>
      <c r="AF6" s="8" t="str">
        <f>IF($C$4&gt;20,30,"")</f>
        <v/>
      </c>
    </row>
    <row r="7" spans="2:32" hidden="1">
      <c r="B7" s="8" t="s">
        <v>2</v>
      </c>
      <c r="C7" s="33">
        <f t="shared" ref="C7:Q7" si="0">PPMT($C$3,C6,$C$4,$C$1*$C$2*$C$5,0,0)</f>
        <v>-3463.8287448497117</v>
      </c>
      <c r="D7" s="33">
        <f t="shared" si="0"/>
        <v>-3723.6159007134393</v>
      </c>
      <c r="E7" s="33">
        <f t="shared" si="0"/>
        <v>-4002.8870932669474</v>
      </c>
      <c r="F7" s="33">
        <f t="shared" si="0"/>
        <v>-4303.1036252619688</v>
      </c>
      <c r="G7" s="33">
        <f t="shared" si="0"/>
        <v>-4625.8363971566168</v>
      </c>
      <c r="H7" s="33">
        <f t="shared" si="0"/>
        <v>-4972.7741269433627</v>
      </c>
      <c r="I7" s="33">
        <f t="shared" si="0"/>
        <v>-5345.7321864641144</v>
      </c>
      <c r="J7" s="33">
        <f t="shared" si="0"/>
        <v>-5746.6621004489243</v>
      </c>
      <c r="K7" s="33">
        <f t="shared" si="0"/>
        <v>-6177.6617579825925</v>
      </c>
      <c r="L7" s="33">
        <f t="shared" si="0"/>
        <v>-6640.986389831286</v>
      </c>
      <c r="M7" s="33">
        <f t="shared" si="0"/>
        <v>-7139.0603690686339</v>
      </c>
      <c r="N7" s="33">
        <f t="shared" si="0"/>
        <v>-7674.4898967487807</v>
      </c>
      <c r="O7" s="33">
        <f t="shared" si="0"/>
        <v>-8250.0766390049394</v>
      </c>
      <c r="P7" s="33">
        <f t="shared" si="0"/>
        <v>-8868.8323869303094</v>
      </c>
      <c r="Q7" s="33">
        <f t="shared" si="0"/>
        <v>-9533.9948159500836</v>
      </c>
      <c r="R7" s="33">
        <f>IF(R6="","",PPMT($C$3,R6,$C$4,$C$1*$C$2*$C$5,0,0))</f>
        <v>-10249.04442714634</v>
      </c>
      <c r="S7" s="33">
        <f>IF(S6="","",PPMT($C$3,S6,$C$4,$C$1*$C$2*$C$5,0,0))</f>
        <v>-11017.722759182316</v>
      </c>
      <c r="T7" s="33">
        <f>IF(T6="","",PPMT($C$3,T6,$C$4,$C$1*$C$2*$C$5,0,0))</f>
        <v>-11844.051966120989</v>
      </c>
      <c r="U7" s="33">
        <f>IF(U6="","",PPMT($C$3,U6,$C$4,$C$1*$C$2*$C$5,0,0))</f>
        <v>-12732.355863580064</v>
      </c>
      <c r="V7" s="33">
        <f>IF(V6="","",PPMT($C$3,V6,$C$4,$C$1*$C$2*$C$5,0,0))</f>
        <v>-13687.282553348568</v>
      </c>
      <c r="W7" s="33">
        <f>IF(W6="",0,PPMT($C$3,W6,$C$4,$C$1*$C$2*$C$5,0,0))</f>
        <v>0</v>
      </c>
      <c r="X7" s="33">
        <f>IF(X6="",0,PPMT($C$3,X6,$C$4,$C$1*$C$2*$C$5,0,0))</f>
        <v>0</v>
      </c>
      <c r="Y7" s="33">
        <f>IF(Y6="",0,PPMT($C$3,Y6,$C$4,$C$1*$C$2*$C$5,0,0))</f>
        <v>0</v>
      </c>
      <c r="Z7" s="33">
        <f>IF(Z6="",0,PPMT($C$3,Z6,$C$4,$C$1*$C$2*$C$5,0,0))</f>
        <v>0</v>
      </c>
      <c r="AA7" s="33">
        <f>IF(AA6="",0,PPMT($C$3,AA6,$C$4,$C$1*$C$2*$C$5,0,0))</f>
        <v>0</v>
      </c>
      <c r="AB7" s="33" t="str">
        <f>IF(AB6="","",PPMT($C$3,AB6,$C$4,$C$1*$C$2*$C$5,0,0))</f>
        <v/>
      </c>
      <c r="AC7" s="33" t="str">
        <f>IF(AC6="","",PPMT($C$3,AC6,$C$4,$C$1*$C$2*$C$5,0,0))</f>
        <v/>
      </c>
      <c r="AD7" s="33" t="str">
        <f>IF(AD6="","",PPMT($C$3,AD6,$C$4,$C$1*$C$2*$C$5,0,0))</f>
        <v/>
      </c>
      <c r="AE7" s="33" t="str">
        <f>IF(AE6="","",PPMT($C$3,AE6,$C$4,$C$1*$C$2*$C$5,0,0))</f>
        <v/>
      </c>
      <c r="AF7" s="33" t="str">
        <f>IF(AF6="","",PPMT($C$3,AF6,$C$4,$C$1*$C$2*$C$5,0,0))</f>
        <v/>
      </c>
    </row>
    <row r="8" spans="2:32" hidden="1">
      <c r="B8" s="8" t="s">
        <v>3</v>
      </c>
      <c r="C8" s="33">
        <f t="shared" ref="C8:Q8" si="1">IPMT($C$3,C6,$C$4,$C$1*$C$2*$C$5,0,0)</f>
        <v>-11250</v>
      </c>
      <c r="D8" s="33">
        <f t="shared" si="1"/>
        <v>-10990.212844136271</v>
      </c>
      <c r="E8" s="33">
        <f t="shared" si="1"/>
        <v>-10710.941651582762</v>
      </c>
      <c r="F8" s="33">
        <f t="shared" si="1"/>
        <v>-10410.725119587742</v>
      </c>
      <c r="G8" s="33">
        <f t="shared" si="1"/>
        <v>-10087.992347693094</v>
      </c>
      <c r="H8" s="33">
        <f t="shared" si="1"/>
        <v>-9741.0546179063476</v>
      </c>
      <c r="I8" s="33">
        <f t="shared" si="1"/>
        <v>-9368.0965583855959</v>
      </c>
      <c r="J8" s="33">
        <f t="shared" si="1"/>
        <v>-8967.1666444007878</v>
      </c>
      <c r="K8" s="33">
        <f t="shared" si="1"/>
        <v>-8536.1669868671197</v>
      </c>
      <c r="L8" s="33">
        <f t="shared" si="1"/>
        <v>-8072.8423550184234</v>
      </c>
      <c r="M8" s="33">
        <f t="shared" si="1"/>
        <v>-7574.7683757810764</v>
      </c>
      <c r="N8" s="33">
        <f t="shared" si="1"/>
        <v>-7039.3388481009297</v>
      </c>
      <c r="O8" s="33">
        <f t="shared" si="1"/>
        <v>-6463.752105844771</v>
      </c>
      <c r="P8" s="33">
        <f t="shared" si="1"/>
        <v>-5844.9963579194</v>
      </c>
      <c r="Q8" s="33">
        <f t="shared" si="1"/>
        <v>-5179.8339288996267</v>
      </c>
      <c r="R8" s="33">
        <f>IF(R6="","",IPMT($C$3,R6,$C$4,$C$1*$C$2*$C$5,0,0))</f>
        <v>-4464.7843177033701</v>
      </c>
      <c r="S8" s="33">
        <f>IF(S6="","",IPMT($C$3,S6,$C$4,$C$1*$C$2*$C$5,0,0))</f>
        <v>-3696.1059856673955</v>
      </c>
      <c r="T8" s="33">
        <f>IF(T6="","",IPMT($C$3,T6,$C$4,$C$1*$C$2*$C$5,0,0))</f>
        <v>-2869.7767787287212</v>
      </c>
      <c r="U8" s="33">
        <f>IF(U6="","",IPMT($C$3,U6,$C$4,$C$1*$C$2*$C$5,0,0))</f>
        <v>-1981.4728812696474</v>
      </c>
      <c r="V8" s="33">
        <f>IF(V6="","",IPMT($C$3,V6,$C$4,$C$1*$C$2*$C$5,0,0))</f>
        <v>-1026.5461915011426</v>
      </c>
      <c r="W8" s="33">
        <f>IF(W6="",0,IPMT($C$3,W6,$C$4,$C$1*$C$2*$C$5,0,0))</f>
        <v>0</v>
      </c>
      <c r="X8" s="33">
        <f>IF(X6="",0,IPMT($C$3,X6,$C$4,$C$1*$C$2*$C$5,0,0))</f>
        <v>0</v>
      </c>
      <c r="Y8" s="33">
        <f>IF(Y6="",0,IPMT($C$3,Y6,$C$4,$C$1*$C$2*$C$5,0,0))</f>
        <v>0</v>
      </c>
      <c r="Z8" s="33">
        <f>IF(Z6="",0,IPMT($C$3,Z6,$C$4,$C$1*$C$2*$C$5,0,0))</f>
        <v>0</v>
      </c>
      <c r="AA8" s="33">
        <f>IF(AA6="",0,IPMT($C$3,AA6,$C$4,$C$1*$C$2*$C$5,0,0))</f>
        <v>0</v>
      </c>
      <c r="AB8" s="33" t="str">
        <f>IF(AB6="","",IPMT($C$3,AB6,$C$4,$C$1*$C$2*$C$5,0,0))</f>
        <v/>
      </c>
      <c r="AC8" s="33" t="str">
        <f>IF(AC6="","",IPMT($C$3,AC6,$C$4,$C$1*$C$2*$C$5,0,0))</f>
        <v/>
      </c>
      <c r="AD8" s="33" t="str">
        <f>IF(AD6="","",IPMT($C$3,AD6,$C$4,$C$1*$C$2*$C$5,0,0))</f>
        <v/>
      </c>
      <c r="AE8" s="33" t="str">
        <f>IF(AE6="","",IPMT($C$3,AE6,$C$4,$C$1*$C$2*$C$5,0,0))</f>
        <v/>
      </c>
      <c r="AF8" s="33" t="str">
        <f>IF(AF6="","",IPMT($C$3,AF6,$C$4,$C$1*$C$2*$C$5,0,0))</f>
        <v/>
      </c>
    </row>
    <row r="10" spans="2:32">
      <c r="C10" s="40" t="s">
        <v>34</v>
      </c>
      <c r="D10" s="40"/>
      <c r="E10" s="40"/>
      <c r="H10" s="40" t="s">
        <v>35</v>
      </c>
      <c r="I10" s="40"/>
      <c r="J10" s="40"/>
    </row>
    <row r="11" spans="2:32">
      <c r="C11" s="34" t="s">
        <v>21</v>
      </c>
      <c r="D11" s="8" t="s">
        <v>22</v>
      </c>
      <c r="E11" s="8" t="s">
        <v>23</v>
      </c>
      <c r="H11" s="8" t="s">
        <v>28</v>
      </c>
      <c r="I11" s="8" t="s">
        <v>29</v>
      </c>
      <c r="J11" s="8" t="s">
        <v>30</v>
      </c>
    </row>
    <row r="12" spans="2:32">
      <c r="C12" s="35">
        <f>(C1*C2)-F5</f>
        <v>150000</v>
      </c>
      <c r="D12" s="35">
        <f>C12</f>
        <v>150000</v>
      </c>
      <c r="E12" s="35">
        <f>C12</f>
        <v>150000</v>
      </c>
    </row>
    <row r="13" spans="2:32">
      <c r="B13" s="8" t="s">
        <v>4</v>
      </c>
      <c r="C13" s="36">
        <f t="shared" ref="C13:C23" si="2">$C$12*B30</f>
        <v>11250</v>
      </c>
      <c r="D13" s="35">
        <f t="shared" ref="D13:D23" si="3">$D$12*C30</f>
        <v>7500</v>
      </c>
      <c r="E13" s="36">
        <f t="shared" ref="E13:E28" si="4">$E$12*D30</f>
        <v>4995.0000000000009</v>
      </c>
      <c r="G13" s="8" t="s">
        <v>4</v>
      </c>
      <c r="H13" s="33">
        <f t="shared" ref="H13:H27" si="5">PPMT($C$3,K13,$C$4,$C$1*$C$2*$C$5,0,0)</f>
        <v>-3463.8287448497117</v>
      </c>
      <c r="I13" s="33">
        <f t="shared" ref="I13:I27" si="6">IPMT($C$3,K13,$C$4,$C$1*$C$2*$C$5,0,0)</f>
        <v>-11250</v>
      </c>
      <c r="J13" s="33">
        <f>H13+I13</f>
        <v>-14713.828744849712</v>
      </c>
      <c r="K13" s="8">
        <v>1</v>
      </c>
    </row>
    <row r="14" spans="2:32">
      <c r="B14" s="8" t="s">
        <v>5</v>
      </c>
      <c r="C14" s="36">
        <f t="shared" si="2"/>
        <v>20820</v>
      </c>
      <c r="D14" s="35">
        <f t="shared" si="3"/>
        <v>15000</v>
      </c>
      <c r="E14" s="36">
        <f t="shared" si="4"/>
        <v>10005</v>
      </c>
      <c r="G14" s="8" t="s">
        <v>5</v>
      </c>
      <c r="H14" s="33">
        <f t="shared" si="5"/>
        <v>-3723.6159007134393</v>
      </c>
      <c r="I14" s="33">
        <f t="shared" si="6"/>
        <v>-10990.212844136271</v>
      </c>
      <c r="J14" s="33">
        <f t="shared" ref="J14:J32" si="7">H14+I14</f>
        <v>-14713.82874484971</v>
      </c>
      <c r="K14" s="8">
        <v>2</v>
      </c>
    </row>
    <row r="15" spans="2:32">
      <c r="B15" s="8" t="s">
        <v>6</v>
      </c>
      <c r="C15" s="36">
        <f t="shared" si="2"/>
        <v>17685</v>
      </c>
      <c r="D15" s="35">
        <f t="shared" si="3"/>
        <v>15000</v>
      </c>
      <c r="E15" s="36">
        <f t="shared" si="4"/>
        <v>10005</v>
      </c>
      <c r="G15" s="8" t="s">
        <v>6</v>
      </c>
      <c r="H15" s="33">
        <f t="shared" si="5"/>
        <v>-4002.8870932669474</v>
      </c>
      <c r="I15" s="33">
        <f t="shared" si="6"/>
        <v>-10710.941651582762</v>
      </c>
      <c r="J15" s="33">
        <f t="shared" si="7"/>
        <v>-14713.828744849709</v>
      </c>
      <c r="K15" s="8">
        <v>3</v>
      </c>
    </row>
    <row r="16" spans="2:32">
      <c r="B16" s="8" t="s">
        <v>7</v>
      </c>
      <c r="C16" s="36">
        <f t="shared" si="2"/>
        <v>15030</v>
      </c>
      <c r="D16" s="35">
        <f t="shared" si="3"/>
        <v>15000</v>
      </c>
      <c r="E16" s="36">
        <f t="shared" si="4"/>
        <v>10005</v>
      </c>
      <c r="G16" s="8" t="s">
        <v>7</v>
      </c>
      <c r="H16" s="33">
        <f t="shared" si="5"/>
        <v>-4303.1036252619688</v>
      </c>
      <c r="I16" s="33">
        <f t="shared" si="6"/>
        <v>-10410.725119587742</v>
      </c>
      <c r="J16" s="33">
        <f t="shared" si="7"/>
        <v>-14713.82874484971</v>
      </c>
      <c r="K16" s="8">
        <v>4</v>
      </c>
    </row>
    <row r="17" spans="2:11">
      <c r="B17" s="8" t="s">
        <v>8</v>
      </c>
      <c r="C17" s="36">
        <f t="shared" si="2"/>
        <v>13110</v>
      </c>
      <c r="D17" s="35">
        <f t="shared" si="3"/>
        <v>15000</v>
      </c>
      <c r="E17" s="36">
        <f t="shared" si="4"/>
        <v>10005</v>
      </c>
      <c r="G17" s="8" t="s">
        <v>8</v>
      </c>
      <c r="H17" s="33">
        <f t="shared" si="5"/>
        <v>-4625.8363971566168</v>
      </c>
      <c r="I17" s="33">
        <f t="shared" si="6"/>
        <v>-10087.992347693094</v>
      </c>
      <c r="J17" s="33">
        <f t="shared" si="7"/>
        <v>-14713.82874484971</v>
      </c>
      <c r="K17" s="8">
        <v>5</v>
      </c>
    </row>
    <row r="18" spans="2:11">
      <c r="B18" s="8" t="s">
        <v>9</v>
      </c>
      <c r="C18" s="36">
        <f t="shared" si="2"/>
        <v>13110</v>
      </c>
      <c r="D18" s="35">
        <f t="shared" si="3"/>
        <v>15000</v>
      </c>
      <c r="E18" s="36">
        <f t="shared" si="4"/>
        <v>10005</v>
      </c>
      <c r="G18" s="8" t="s">
        <v>9</v>
      </c>
      <c r="H18" s="33">
        <f t="shared" si="5"/>
        <v>-4972.7741269433627</v>
      </c>
      <c r="I18" s="33">
        <f t="shared" si="6"/>
        <v>-9741.0546179063476</v>
      </c>
      <c r="J18" s="33">
        <f t="shared" si="7"/>
        <v>-14713.82874484971</v>
      </c>
      <c r="K18" s="8">
        <v>6</v>
      </c>
    </row>
    <row r="19" spans="2:11">
      <c r="B19" s="8" t="s">
        <v>10</v>
      </c>
      <c r="C19" s="36">
        <f t="shared" si="2"/>
        <v>13110</v>
      </c>
      <c r="D19" s="35">
        <f t="shared" si="3"/>
        <v>15000</v>
      </c>
      <c r="E19" s="36">
        <f t="shared" si="4"/>
        <v>10005</v>
      </c>
      <c r="G19" s="8" t="s">
        <v>10</v>
      </c>
      <c r="H19" s="33">
        <f t="shared" si="5"/>
        <v>-5345.7321864641144</v>
      </c>
      <c r="I19" s="33">
        <f t="shared" si="6"/>
        <v>-9368.0965583855959</v>
      </c>
      <c r="J19" s="33">
        <f t="shared" si="7"/>
        <v>-14713.82874484971</v>
      </c>
      <c r="K19" s="8">
        <v>7</v>
      </c>
    </row>
    <row r="20" spans="2:11">
      <c r="B20" s="8" t="s">
        <v>11</v>
      </c>
      <c r="C20" s="36">
        <f t="shared" si="2"/>
        <v>13110</v>
      </c>
      <c r="D20" s="35">
        <f t="shared" si="3"/>
        <v>15000</v>
      </c>
      <c r="E20" s="36">
        <f t="shared" si="4"/>
        <v>10005</v>
      </c>
      <c r="G20" s="8" t="s">
        <v>11</v>
      </c>
      <c r="H20" s="33">
        <f t="shared" si="5"/>
        <v>-5746.6621004489243</v>
      </c>
      <c r="I20" s="33">
        <f t="shared" si="6"/>
        <v>-8967.1666444007878</v>
      </c>
      <c r="J20" s="33">
        <f t="shared" si="7"/>
        <v>-14713.828744849712</v>
      </c>
      <c r="K20" s="8">
        <v>8</v>
      </c>
    </row>
    <row r="21" spans="2:11">
      <c r="B21" s="8" t="s">
        <v>12</v>
      </c>
      <c r="C21" s="36">
        <f t="shared" si="2"/>
        <v>13110</v>
      </c>
      <c r="D21" s="35">
        <f t="shared" si="3"/>
        <v>15000</v>
      </c>
      <c r="E21" s="36">
        <f t="shared" si="4"/>
        <v>10005</v>
      </c>
      <c r="G21" s="8" t="s">
        <v>12</v>
      </c>
      <c r="H21" s="33">
        <f t="shared" si="5"/>
        <v>-6177.6617579825925</v>
      </c>
      <c r="I21" s="33">
        <f t="shared" si="6"/>
        <v>-8536.1669868671197</v>
      </c>
      <c r="J21" s="33">
        <f t="shared" si="7"/>
        <v>-14713.828744849712</v>
      </c>
      <c r="K21" s="8">
        <v>9</v>
      </c>
    </row>
    <row r="22" spans="2:11">
      <c r="B22" s="8" t="s">
        <v>13</v>
      </c>
      <c r="C22" s="36">
        <f t="shared" si="2"/>
        <v>13110</v>
      </c>
      <c r="D22" s="35">
        <f t="shared" si="3"/>
        <v>15000</v>
      </c>
      <c r="E22" s="36">
        <f t="shared" si="4"/>
        <v>9990.0000000000018</v>
      </c>
      <c r="G22" s="8" t="s">
        <v>13</v>
      </c>
      <c r="H22" s="33">
        <f t="shared" si="5"/>
        <v>-6640.986389831286</v>
      </c>
      <c r="I22" s="33">
        <f t="shared" si="6"/>
        <v>-8072.8423550184234</v>
      </c>
      <c r="J22" s="33">
        <f t="shared" si="7"/>
        <v>-14713.82874484971</v>
      </c>
      <c r="K22" s="8">
        <v>10</v>
      </c>
    </row>
    <row r="23" spans="2:11">
      <c r="B23" s="8" t="s">
        <v>14</v>
      </c>
      <c r="C23" s="36">
        <f t="shared" si="2"/>
        <v>6555</v>
      </c>
      <c r="D23" s="35">
        <f t="shared" si="3"/>
        <v>7500</v>
      </c>
      <c r="E23" s="36">
        <f t="shared" si="4"/>
        <v>10005</v>
      </c>
      <c r="G23" s="8" t="s">
        <v>14</v>
      </c>
      <c r="H23" s="33">
        <f t="shared" si="5"/>
        <v>-7139.0603690686339</v>
      </c>
      <c r="I23" s="33">
        <f t="shared" si="6"/>
        <v>-7574.7683757810764</v>
      </c>
      <c r="J23" s="33">
        <f t="shared" si="7"/>
        <v>-14713.82874484971</v>
      </c>
      <c r="K23" s="8">
        <v>11</v>
      </c>
    </row>
    <row r="24" spans="2:11">
      <c r="B24" s="8" t="s">
        <v>15</v>
      </c>
      <c r="C24" s="36"/>
      <c r="D24" s="35"/>
      <c r="E24" s="36">
        <f t="shared" si="4"/>
        <v>9990.0000000000018</v>
      </c>
      <c r="G24" s="8" t="s">
        <v>15</v>
      </c>
      <c r="H24" s="33">
        <f t="shared" si="5"/>
        <v>-7674.4898967487807</v>
      </c>
      <c r="I24" s="33">
        <f t="shared" si="6"/>
        <v>-7039.3388481009297</v>
      </c>
      <c r="J24" s="33">
        <f t="shared" si="7"/>
        <v>-14713.82874484971</v>
      </c>
      <c r="K24" s="8">
        <v>12</v>
      </c>
    </row>
    <row r="25" spans="2:11">
      <c r="B25" s="8" t="s">
        <v>16</v>
      </c>
      <c r="C25" s="36"/>
      <c r="D25" s="35"/>
      <c r="E25" s="36">
        <f t="shared" si="4"/>
        <v>10005</v>
      </c>
      <c r="G25" s="8" t="s">
        <v>16</v>
      </c>
      <c r="H25" s="33">
        <f t="shared" si="5"/>
        <v>-8250.0766390049394</v>
      </c>
      <c r="I25" s="33">
        <f t="shared" si="6"/>
        <v>-6463.752105844771</v>
      </c>
      <c r="J25" s="33">
        <f t="shared" si="7"/>
        <v>-14713.82874484971</v>
      </c>
      <c r="K25" s="8">
        <v>13</v>
      </c>
    </row>
    <row r="26" spans="2:11">
      <c r="B26" s="8" t="s">
        <v>17</v>
      </c>
      <c r="C26" s="36"/>
      <c r="D26" s="35"/>
      <c r="E26" s="36">
        <f t="shared" si="4"/>
        <v>9990.0000000000018</v>
      </c>
      <c r="G26" s="8" t="s">
        <v>17</v>
      </c>
      <c r="H26" s="33">
        <f t="shared" si="5"/>
        <v>-8868.8323869303094</v>
      </c>
      <c r="I26" s="33">
        <f t="shared" si="6"/>
        <v>-5844.9963579194</v>
      </c>
      <c r="J26" s="33">
        <f t="shared" si="7"/>
        <v>-14713.82874484971</v>
      </c>
      <c r="K26" s="8">
        <v>14</v>
      </c>
    </row>
    <row r="27" spans="2:11">
      <c r="B27" s="8" t="s">
        <v>18</v>
      </c>
      <c r="C27" s="36"/>
      <c r="D27" s="35"/>
      <c r="E27" s="36">
        <f t="shared" si="4"/>
        <v>10005</v>
      </c>
      <c r="G27" s="8" t="s">
        <v>18</v>
      </c>
      <c r="H27" s="33">
        <f t="shared" si="5"/>
        <v>-9533.9948159500836</v>
      </c>
      <c r="I27" s="33">
        <f t="shared" si="6"/>
        <v>-5179.8339288996267</v>
      </c>
      <c r="J27" s="33">
        <f t="shared" si="7"/>
        <v>-14713.82874484971</v>
      </c>
      <c r="K27" s="8">
        <v>15</v>
      </c>
    </row>
    <row r="28" spans="2:11">
      <c r="B28" s="8" t="s">
        <v>19</v>
      </c>
      <c r="C28" s="36"/>
      <c r="D28" s="35"/>
      <c r="E28" s="36">
        <f t="shared" si="4"/>
        <v>4995.0000000000009</v>
      </c>
      <c r="G28" s="8" t="s">
        <v>19</v>
      </c>
      <c r="H28" s="33">
        <f t="shared" ref="H28:H42" si="8">IF(K28&lt;=$C$4,PPMT($C$3,K28,$C$4,$C$1*$C$2*$C$5,0,0),0)</f>
        <v>-10249.04442714634</v>
      </c>
      <c r="I28" s="33">
        <f t="shared" ref="I28:I42" si="9">IF(K28&lt;=$C$4,IPMT($C$3,K28,$C$4,$C$1*$C$2*$C$5,0,0),0)</f>
        <v>-4464.7843177033701</v>
      </c>
      <c r="J28" s="33">
        <f t="shared" si="7"/>
        <v>-14713.82874484971</v>
      </c>
      <c r="K28" s="8">
        <v>16</v>
      </c>
    </row>
    <row r="29" spans="2:11">
      <c r="C29" s="37"/>
      <c r="G29" s="8" t="s">
        <v>20</v>
      </c>
      <c r="H29" s="33">
        <f t="shared" si="8"/>
        <v>-11017.722759182316</v>
      </c>
      <c r="I29" s="33">
        <f t="shared" si="9"/>
        <v>-3696.1059856673955</v>
      </c>
      <c r="J29" s="33">
        <f t="shared" si="7"/>
        <v>-14713.82874484971</v>
      </c>
      <c r="K29" s="8">
        <v>17</v>
      </c>
    </row>
    <row r="30" spans="2:11">
      <c r="B30" s="38">
        <v>7.4999999999999997E-2</v>
      </c>
      <c r="C30" s="39">
        <v>0.05</v>
      </c>
      <c r="D30" s="38">
        <v>3.3300000000000003E-2</v>
      </c>
      <c r="G30" s="8" t="s">
        <v>36</v>
      </c>
      <c r="H30" s="33">
        <f t="shared" si="8"/>
        <v>-11844.051966120989</v>
      </c>
      <c r="I30" s="33">
        <f t="shared" si="9"/>
        <v>-2869.7767787287212</v>
      </c>
      <c r="J30" s="33">
        <f t="shared" si="7"/>
        <v>-14713.82874484971</v>
      </c>
      <c r="K30" s="8">
        <v>18</v>
      </c>
    </row>
    <row r="31" spans="2:11">
      <c r="B31" s="38">
        <v>0.13880000000000001</v>
      </c>
      <c r="C31" s="39">
        <v>0.1</v>
      </c>
      <c r="D31" s="38">
        <v>6.6699999999999995E-2</v>
      </c>
      <c r="G31" s="8" t="s">
        <v>37</v>
      </c>
      <c r="H31" s="33">
        <f t="shared" si="8"/>
        <v>-12732.355863580064</v>
      </c>
      <c r="I31" s="33">
        <f t="shared" si="9"/>
        <v>-1981.4728812696474</v>
      </c>
      <c r="J31" s="33">
        <f t="shared" si="7"/>
        <v>-14713.82874484971</v>
      </c>
      <c r="K31" s="8">
        <v>19</v>
      </c>
    </row>
    <row r="32" spans="2:11">
      <c r="B32" s="38">
        <v>0.1179</v>
      </c>
      <c r="C32" s="39">
        <v>0.1</v>
      </c>
      <c r="D32" s="38">
        <v>6.6699999999999995E-2</v>
      </c>
      <c r="G32" s="8" t="s">
        <v>38</v>
      </c>
      <c r="H32" s="33">
        <f t="shared" si="8"/>
        <v>-13687.282553348568</v>
      </c>
      <c r="I32" s="33">
        <f t="shared" si="9"/>
        <v>-1026.5461915011426</v>
      </c>
      <c r="J32" s="33">
        <f t="shared" si="7"/>
        <v>-14713.82874484971</v>
      </c>
      <c r="K32" s="8">
        <v>20</v>
      </c>
    </row>
    <row r="33" spans="2:11">
      <c r="B33" s="38">
        <v>0.1002</v>
      </c>
      <c r="C33" s="39">
        <v>0.1</v>
      </c>
      <c r="D33" s="38">
        <v>6.6699999999999995E-2</v>
      </c>
      <c r="G33" s="8" t="s">
        <v>39</v>
      </c>
      <c r="H33" s="33">
        <f t="shared" si="8"/>
        <v>0</v>
      </c>
      <c r="I33" s="33">
        <f t="shared" si="9"/>
        <v>0</v>
      </c>
      <c r="J33" s="33">
        <f>IF(H33="","",H33+I33)</f>
        <v>0</v>
      </c>
      <c r="K33" s="8">
        <v>21</v>
      </c>
    </row>
    <row r="34" spans="2:11">
      <c r="B34" s="38">
        <v>8.7400000000000005E-2</v>
      </c>
      <c r="C34" s="39">
        <v>0.1</v>
      </c>
      <c r="D34" s="38">
        <v>6.6699999999999995E-2</v>
      </c>
      <c r="G34" s="8" t="s">
        <v>40</v>
      </c>
      <c r="H34" s="33">
        <f t="shared" si="8"/>
        <v>0</v>
      </c>
      <c r="I34" s="33">
        <f t="shared" si="9"/>
        <v>0</v>
      </c>
      <c r="J34" s="33">
        <f t="shared" ref="J34:J42" si="10">IF(H34="","",H34+I34)</f>
        <v>0</v>
      </c>
      <c r="K34" s="8">
        <v>22</v>
      </c>
    </row>
    <row r="35" spans="2:11">
      <c r="B35" s="38">
        <v>8.7400000000000005E-2</v>
      </c>
      <c r="C35" s="39">
        <v>0.1</v>
      </c>
      <c r="D35" s="38">
        <v>6.6699999999999995E-2</v>
      </c>
      <c r="G35" s="8" t="s">
        <v>41</v>
      </c>
      <c r="H35" s="33">
        <f t="shared" si="8"/>
        <v>0</v>
      </c>
      <c r="I35" s="33">
        <f t="shared" si="9"/>
        <v>0</v>
      </c>
      <c r="J35" s="33">
        <f t="shared" si="10"/>
        <v>0</v>
      </c>
      <c r="K35" s="8">
        <v>23</v>
      </c>
    </row>
    <row r="36" spans="2:11">
      <c r="B36" s="38">
        <v>8.7400000000000005E-2</v>
      </c>
      <c r="C36" s="39">
        <v>0.1</v>
      </c>
      <c r="D36" s="38">
        <v>6.6699999999999995E-2</v>
      </c>
      <c r="G36" s="8" t="s">
        <v>42</v>
      </c>
      <c r="H36" s="33">
        <f t="shared" si="8"/>
        <v>0</v>
      </c>
      <c r="I36" s="33">
        <f t="shared" si="9"/>
        <v>0</v>
      </c>
      <c r="J36" s="33">
        <f t="shared" si="10"/>
        <v>0</v>
      </c>
      <c r="K36" s="8">
        <v>24</v>
      </c>
    </row>
    <row r="37" spans="2:11">
      <c r="B37" s="38">
        <v>8.7400000000000005E-2</v>
      </c>
      <c r="C37" s="39">
        <v>0.1</v>
      </c>
      <c r="D37" s="38">
        <v>6.6699999999999995E-2</v>
      </c>
      <c r="G37" s="8" t="s">
        <v>43</v>
      </c>
      <c r="H37" s="33">
        <f t="shared" si="8"/>
        <v>0</v>
      </c>
      <c r="I37" s="33">
        <f t="shared" si="9"/>
        <v>0</v>
      </c>
      <c r="J37" s="33">
        <f t="shared" si="10"/>
        <v>0</v>
      </c>
      <c r="K37" s="8">
        <v>25</v>
      </c>
    </row>
    <row r="38" spans="2:11">
      <c r="B38" s="38">
        <v>8.7400000000000005E-2</v>
      </c>
      <c r="C38" s="39">
        <v>0.1</v>
      </c>
      <c r="D38" s="38">
        <v>6.6699999999999995E-2</v>
      </c>
      <c r="G38" s="8" t="s">
        <v>44</v>
      </c>
      <c r="H38" s="33">
        <f t="shared" si="8"/>
        <v>0</v>
      </c>
      <c r="I38" s="33">
        <f t="shared" si="9"/>
        <v>0</v>
      </c>
      <c r="J38" s="33">
        <f t="shared" si="10"/>
        <v>0</v>
      </c>
      <c r="K38" s="8">
        <v>26</v>
      </c>
    </row>
    <row r="39" spans="2:11">
      <c r="B39" s="38">
        <v>8.7400000000000005E-2</v>
      </c>
      <c r="C39" s="39">
        <v>0.1</v>
      </c>
      <c r="D39" s="38">
        <v>6.6600000000000006E-2</v>
      </c>
      <c r="G39" s="8" t="s">
        <v>45</v>
      </c>
      <c r="H39" s="33">
        <f t="shared" si="8"/>
        <v>0</v>
      </c>
      <c r="I39" s="33">
        <f t="shared" si="9"/>
        <v>0</v>
      </c>
      <c r="J39" s="33">
        <f t="shared" si="10"/>
        <v>0</v>
      </c>
      <c r="K39" s="8">
        <v>27</v>
      </c>
    </row>
    <row r="40" spans="2:11">
      <c r="B40" s="38">
        <v>4.3700000000000003E-2</v>
      </c>
      <c r="C40" s="39">
        <v>0.05</v>
      </c>
      <c r="D40" s="38">
        <v>6.6699999999999995E-2</v>
      </c>
      <c r="G40" s="8" t="s">
        <v>46</v>
      </c>
      <c r="H40" s="33">
        <f t="shared" si="8"/>
        <v>0</v>
      </c>
      <c r="I40" s="33">
        <f t="shared" si="9"/>
        <v>0</v>
      </c>
      <c r="J40" s="33">
        <f t="shared" si="10"/>
        <v>0</v>
      </c>
      <c r="K40" s="8">
        <v>28</v>
      </c>
    </row>
    <row r="41" spans="2:11">
      <c r="B41" s="10"/>
      <c r="C41" s="10"/>
      <c r="D41" s="38">
        <v>6.6600000000000006E-2</v>
      </c>
      <c r="G41" s="8" t="s">
        <v>47</v>
      </c>
      <c r="H41" s="33">
        <f t="shared" si="8"/>
        <v>0</v>
      </c>
      <c r="I41" s="33">
        <f t="shared" si="9"/>
        <v>0</v>
      </c>
      <c r="J41" s="33">
        <f t="shared" si="10"/>
        <v>0</v>
      </c>
      <c r="K41" s="8">
        <v>29</v>
      </c>
    </row>
    <row r="42" spans="2:11">
      <c r="B42" s="10"/>
      <c r="C42" s="10"/>
      <c r="D42" s="38">
        <v>6.6699999999999995E-2</v>
      </c>
      <c r="G42" s="8" t="s">
        <v>48</v>
      </c>
      <c r="H42" s="33">
        <f t="shared" si="8"/>
        <v>0</v>
      </c>
      <c r="I42" s="33">
        <f t="shared" si="9"/>
        <v>0</v>
      </c>
      <c r="J42" s="33">
        <f t="shared" si="10"/>
        <v>0</v>
      </c>
      <c r="K42" s="8">
        <v>30</v>
      </c>
    </row>
    <row r="43" spans="2:11">
      <c r="B43" s="10"/>
      <c r="C43" s="10"/>
      <c r="D43" s="38">
        <v>6.6600000000000006E-2</v>
      </c>
    </row>
    <row r="44" spans="2:11">
      <c r="B44" s="10"/>
      <c r="C44" s="10"/>
      <c r="D44" s="38">
        <v>6.6699999999999995E-2</v>
      </c>
    </row>
    <row r="45" spans="2:11">
      <c r="B45" s="10"/>
      <c r="C45" s="10"/>
      <c r="D45" s="38">
        <v>3.3300000000000003E-2</v>
      </c>
    </row>
  </sheetData>
  <sheetProtection sheet="1" objects="1" scenarios="1"/>
  <mergeCells count="2">
    <mergeCell ref="C10:E10"/>
    <mergeCell ref="H10:J10"/>
  </mergeCells>
  <pageMargins left="0.7" right="0.7" top="0.75" bottom="0.75" header="0.3" footer="0.3"/>
  <pageSetup orientation="portrait" verticalDpi="2" r:id="rId1"/>
  <drawing r:id="rId2"/>
</worksheet>
</file>

<file path=xl/worksheets/sheet2.xml><?xml version="1.0" encoding="utf-8"?>
<worksheet xmlns="http://schemas.openxmlformats.org/spreadsheetml/2006/main" xmlns:r="http://schemas.openxmlformats.org/officeDocument/2006/relationships">
  <sheetPr>
    <pageSetUpPr fitToPage="1"/>
  </sheetPr>
  <dimension ref="A2:K43"/>
  <sheetViews>
    <sheetView topLeftCell="A22" workbookViewId="0">
      <selection activeCell="F39" sqref="F39"/>
    </sheetView>
  </sheetViews>
  <sheetFormatPr defaultColWidth="9.140625" defaultRowHeight="15"/>
  <cols>
    <col min="1" max="1" width="20.85546875" style="8" bestFit="1" customWidth="1"/>
    <col min="2" max="2" width="13.85546875" style="8" bestFit="1" customWidth="1"/>
    <col min="3" max="3" width="16" style="8" bestFit="1" customWidth="1"/>
    <col min="4" max="4" width="13.28515625" style="8" customWidth="1"/>
    <col min="5" max="5" width="20.85546875" style="8" bestFit="1" customWidth="1"/>
    <col min="6" max="6" width="12.42578125" style="8" bestFit="1" customWidth="1"/>
    <col min="7" max="7" width="14.28515625" style="8" bestFit="1" customWidth="1"/>
    <col min="8" max="8" width="27.5703125" style="8" bestFit="1" customWidth="1"/>
    <col min="9" max="16" width="12.42578125" style="8" bestFit="1" customWidth="1"/>
    <col min="17" max="17" width="12.5703125" style="8" bestFit="1" customWidth="1"/>
    <col min="18" max="26" width="11.5703125" style="8" bestFit="1" customWidth="1"/>
    <col min="27" max="16384" width="9.140625" style="8"/>
  </cols>
  <sheetData>
    <row r="2" spans="1:8">
      <c r="A2" s="7" t="s">
        <v>23</v>
      </c>
      <c r="B2" s="9" t="s">
        <v>21</v>
      </c>
      <c r="C2" s="10" t="s">
        <v>22</v>
      </c>
      <c r="D2" s="10" t="s">
        <v>23</v>
      </c>
    </row>
    <row r="4" spans="1:8" ht="15.75" thickBot="1">
      <c r="B4" s="11" t="s">
        <v>32</v>
      </c>
      <c r="C4" s="12" t="s">
        <v>33</v>
      </c>
      <c r="D4" s="13" t="s">
        <v>24</v>
      </c>
      <c r="E4" s="12" t="s">
        <v>25</v>
      </c>
      <c r="F4" s="12" t="s">
        <v>26</v>
      </c>
      <c r="G4" s="12" t="s">
        <v>31</v>
      </c>
      <c r="H4" s="12" t="s">
        <v>49</v>
      </c>
    </row>
    <row r="5" spans="1:8">
      <c r="A5" s="8" t="s">
        <v>4</v>
      </c>
      <c r="B5" s="14">
        <f>Sheet1!$C$2*Sheet1!$F$2</f>
        <v>39750</v>
      </c>
      <c r="C5" s="14">
        <f>Sheet1!C2*Sheet1!F3</f>
        <v>17000</v>
      </c>
      <c r="D5" s="14">
        <f>ABS(Sheet1!I13)</f>
        <v>11250</v>
      </c>
      <c r="E5" s="14">
        <f>Sheet1!F5</f>
        <v>0</v>
      </c>
      <c r="F5" s="14">
        <f>IF($A$2=$B$2,VLOOKUP(A5,Sheet1!$B$12:$E$28,2,FALSE),IF($A$2=$C$2,VLOOKUP(A5,Sheet1!$B$11:$E$28,3,FALSE),IF($A$2=$D$2,VLOOKUP(A5,Sheet1!$B$12:$E$28,4,FALSE),0)))</f>
        <v>4995.0000000000009</v>
      </c>
      <c r="G5" s="15">
        <f>SUM(C5:F5)</f>
        <v>33245</v>
      </c>
      <c r="H5" s="15">
        <f>B5-G5</f>
        <v>6505</v>
      </c>
    </row>
    <row r="6" spans="1:8">
      <c r="A6" s="8" t="s">
        <v>5</v>
      </c>
      <c r="B6" s="14">
        <f>Sheet1!$C$2*Sheet1!$F$2</f>
        <v>39750</v>
      </c>
      <c r="C6" s="14">
        <f>C5*(1+Sheet1!$F$4)</f>
        <v>17425</v>
      </c>
      <c r="D6" s="14">
        <f>ABS(Sheet1!I14)</f>
        <v>10990.212844136271</v>
      </c>
      <c r="F6" s="14">
        <f>IF($A$2=$B$2,VLOOKUP(A6,Sheet1!$B$12:$E$28,2,FALSE),IF($A$2=$C$2,VLOOKUP(A6,Sheet1!$B$11:$E$28,3,FALSE),IF($A$2=$D$2,VLOOKUP(A6,Sheet1!$B$12:$E$28,4,FALSE),0)))</f>
        <v>10005</v>
      </c>
      <c r="G6" s="15">
        <f t="shared" ref="G6:G29" si="0">SUM(C6:F6)</f>
        <v>38420.212844136273</v>
      </c>
      <c r="H6" s="15">
        <f t="shared" ref="H6:H29" si="1">B6-G6</f>
        <v>1329.7871558637271</v>
      </c>
    </row>
    <row r="7" spans="1:8">
      <c r="A7" s="8" t="s">
        <v>6</v>
      </c>
      <c r="B7" s="14">
        <f>Sheet1!$C$2*Sheet1!$F$2</f>
        <v>39750</v>
      </c>
      <c r="C7" s="14">
        <f>C6*(1+Sheet1!$F$4)</f>
        <v>17860.625</v>
      </c>
      <c r="D7" s="14">
        <f>ABS(Sheet1!I15)</f>
        <v>10710.941651582762</v>
      </c>
      <c r="F7" s="14">
        <f>IF($A$2=$B$2,VLOOKUP(A7,Sheet1!$B$12:$E$28,2,FALSE),IF($A$2=$C$2,VLOOKUP(A7,Sheet1!$B$11:$E$28,3,FALSE),IF($A$2=$D$2,VLOOKUP(A7,Sheet1!$B$12:$E$28,4,FALSE),0)))</f>
        <v>10005</v>
      </c>
      <c r="G7" s="15">
        <f t="shared" si="0"/>
        <v>38576.566651582762</v>
      </c>
      <c r="H7" s="15">
        <f t="shared" si="1"/>
        <v>1173.4333484172384</v>
      </c>
    </row>
    <row r="8" spans="1:8">
      <c r="A8" s="8" t="s">
        <v>7</v>
      </c>
      <c r="B8" s="14">
        <f>Sheet1!$C$2*Sheet1!$F$2</f>
        <v>39750</v>
      </c>
      <c r="C8" s="14">
        <f>C7*(1+Sheet1!$F$4)</f>
        <v>18307.140625</v>
      </c>
      <c r="D8" s="14">
        <f>ABS(Sheet1!I16)</f>
        <v>10410.725119587742</v>
      </c>
      <c r="F8" s="14">
        <f>IF($A$2=$B$2,VLOOKUP(A8,Sheet1!$B$12:$E$28,2,FALSE),IF($A$2=$C$2,VLOOKUP(A8,Sheet1!$B$11:$E$28,3,FALSE),IF($A$2=$D$2,VLOOKUP(A8,Sheet1!$B$12:$E$28,4,FALSE),0)))</f>
        <v>10005</v>
      </c>
      <c r="G8" s="15">
        <f t="shared" si="0"/>
        <v>38722.86574458774</v>
      </c>
      <c r="H8" s="15">
        <f t="shared" si="1"/>
        <v>1027.1342554122602</v>
      </c>
    </row>
    <row r="9" spans="1:8">
      <c r="A9" s="8" t="s">
        <v>8</v>
      </c>
      <c r="B9" s="14">
        <f>Sheet1!$C$2*Sheet1!$F$2</f>
        <v>39750</v>
      </c>
      <c r="C9" s="14">
        <f>C8*(1+Sheet1!$F$4)</f>
        <v>18764.819140624997</v>
      </c>
      <c r="D9" s="14">
        <f>ABS(Sheet1!I17)</f>
        <v>10087.992347693094</v>
      </c>
      <c r="F9" s="14">
        <f>IF($A$2=$B$2,VLOOKUP(A9,Sheet1!$B$12:$E$28,2,FALSE),IF($A$2=$C$2,VLOOKUP(A9,Sheet1!$B$11:$E$28,3,FALSE),IF($A$2=$D$2,VLOOKUP(A9,Sheet1!$B$12:$E$28,4,FALSE),0)))</f>
        <v>10005</v>
      </c>
      <c r="G9" s="15">
        <f t="shared" si="0"/>
        <v>38857.81148831809</v>
      </c>
      <c r="H9" s="15">
        <f t="shared" si="1"/>
        <v>892.18851168191031</v>
      </c>
    </row>
    <row r="10" spans="1:8">
      <c r="A10" s="8" t="s">
        <v>9</v>
      </c>
      <c r="B10" s="14">
        <f>Sheet1!$C$2*Sheet1!$F$2</f>
        <v>39750</v>
      </c>
      <c r="C10" s="14">
        <f>C9*(1+Sheet1!$F$4)</f>
        <v>19233.939619140619</v>
      </c>
      <c r="D10" s="14">
        <f>ABS(Sheet1!I18)</f>
        <v>9741.0546179063476</v>
      </c>
      <c r="F10" s="14">
        <f>IF($A$2=$B$2,VLOOKUP(A10,Sheet1!$B$12:$E$28,2,FALSE),IF($A$2=$C$2,VLOOKUP(A10,Sheet1!$B$11:$E$28,3,FALSE),IF($A$2=$D$2,VLOOKUP(A10,Sheet1!$B$12:$E$28,4,FALSE),0)))</f>
        <v>10005</v>
      </c>
      <c r="G10" s="15">
        <f t="shared" si="0"/>
        <v>38979.994237046965</v>
      </c>
      <c r="H10" s="15">
        <f t="shared" si="1"/>
        <v>770.00576295303472</v>
      </c>
    </row>
    <row r="11" spans="1:8">
      <c r="A11" s="8" t="s">
        <v>10</v>
      </c>
      <c r="B11" s="14">
        <f>Sheet1!$C$2*Sheet1!$F$2</f>
        <v>39750</v>
      </c>
      <c r="C11" s="14">
        <f>C10*(1+Sheet1!$F$4)</f>
        <v>19714.788109619134</v>
      </c>
      <c r="D11" s="14">
        <f>ABS(Sheet1!I19)</f>
        <v>9368.0965583855959</v>
      </c>
      <c r="F11" s="14">
        <f>IF($A$2=$B$2,VLOOKUP(A11,Sheet1!$B$12:$E$28,2,FALSE),IF($A$2=$C$2,VLOOKUP(A11,Sheet1!$B$11:$E$28,3,FALSE),IF($A$2=$D$2,VLOOKUP(A11,Sheet1!$B$12:$E$28,4,FALSE),0)))</f>
        <v>10005</v>
      </c>
      <c r="G11" s="15">
        <f t="shared" si="0"/>
        <v>39087.884668004728</v>
      </c>
      <c r="H11" s="15">
        <f t="shared" si="1"/>
        <v>662.11533199527184</v>
      </c>
    </row>
    <row r="12" spans="1:8">
      <c r="A12" s="8" t="s">
        <v>11</v>
      </c>
      <c r="B12" s="14">
        <f>Sheet1!$C$2*Sheet1!$F$2</f>
        <v>39750</v>
      </c>
      <c r="C12" s="14">
        <f>C11*(1+Sheet1!$F$4)</f>
        <v>20207.657812359612</v>
      </c>
      <c r="D12" s="14">
        <f>ABS(Sheet1!I20)</f>
        <v>8967.1666444007878</v>
      </c>
      <c r="F12" s="14">
        <f>IF($A$2=$B$2,VLOOKUP(A12,Sheet1!$B$12:$E$28,2,FALSE),IF($A$2=$C$2,VLOOKUP(A12,Sheet1!$B$11:$E$28,3,FALSE),IF($A$2=$D$2,VLOOKUP(A12,Sheet1!$B$12:$E$28,4,FALSE),0)))</f>
        <v>10005</v>
      </c>
      <c r="G12" s="15">
        <f t="shared" si="0"/>
        <v>39179.824456760398</v>
      </c>
      <c r="H12" s="15">
        <f t="shared" si="1"/>
        <v>570.17554323960212</v>
      </c>
    </row>
    <row r="13" spans="1:8">
      <c r="A13" s="8" t="s">
        <v>12</v>
      </c>
      <c r="B13" s="14">
        <f>Sheet1!$C$2*Sheet1!$F$2</f>
        <v>39750</v>
      </c>
      <c r="C13" s="14">
        <f>C12*(1+Sheet1!$F$4)</f>
        <v>20712.8492576686</v>
      </c>
      <c r="D13" s="14">
        <f>ABS(Sheet1!I21)</f>
        <v>8536.1669868671197</v>
      </c>
      <c r="F13" s="14">
        <f>IF($A$2=$B$2,VLOOKUP(A13,Sheet1!$B$12:$E$28,2,FALSE),IF($A$2=$C$2,VLOOKUP(A13,Sheet1!$B$11:$E$28,3,FALSE),IF($A$2=$D$2,VLOOKUP(A13,Sheet1!$B$12:$E$28,4,FALSE),0)))</f>
        <v>10005</v>
      </c>
      <c r="G13" s="15">
        <f t="shared" si="0"/>
        <v>39254.01624453572</v>
      </c>
      <c r="H13" s="15">
        <f t="shared" si="1"/>
        <v>495.98375546427997</v>
      </c>
    </row>
    <row r="14" spans="1:8">
      <c r="A14" s="8" t="s">
        <v>13</v>
      </c>
      <c r="B14" s="14">
        <f>Sheet1!$C$2*Sheet1!$F$2</f>
        <v>39750</v>
      </c>
      <c r="C14" s="14">
        <f>C13*(1+Sheet1!$F$4)</f>
        <v>21230.670489110315</v>
      </c>
      <c r="D14" s="14">
        <f>ABS(Sheet1!I22)</f>
        <v>8072.8423550184234</v>
      </c>
      <c r="F14" s="14">
        <f>IF($A$2=$B$2,VLOOKUP(A14,Sheet1!$B$12:$E$28,2,FALSE),IF($A$2=$C$2,VLOOKUP(A14,Sheet1!$B$11:$E$28,3,FALSE),IF($A$2=$D$2,VLOOKUP(A14,Sheet1!$B$12:$E$28,4,FALSE),0)))</f>
        <v>9990.0000000000018</v>
      </c>
      <c r="G14" s="15">
        <f t="shared" si="0"/>
        <v>39293.512844128738</v>
      </c>
      <c r="H14" s="15">
        <f t="shared" si="1"/>
        <v>456.48715587126208</v>
      </c>
    </row>
    <row r="15" spans="1:8">
      <c r="A15" s="8" t="s">
        <v>14</v>
      </c>
      <c r="B15" s="14">
        <f>Sheet1!$C$2*Sheet1!$F$2</f>
        <v>39750</v>
      </c>
      <c r="C15" s="14">
        <f>C14*(1+Sheet1!$F$4)</f>
        <v>21761.437251338069</v>
      </c>
      <c r="D15" s="14">
        <f>ABS(Sheet1!I23)</f>
        <v>7574.7683757810764</v>
      </c>
      <c r="F15" s="14">
        <f>IF($A$2=$B$2,VLOOKUP(A15,Sheet1!$B$12:$E$28,2,FALSE),IF($A$2=$C$2,VLOOKUP(A15,Sheet1!$B$11:$E$28,3,FALSE),IF($A$2=$D$2,VLOOKUP(A15,Sheet1!$B$12:$E$28,4,FALSE),0)))</f>
        <v>10005</v>
      </c>
      <c r="G15" s="15">
        <f t="shared" si="0"/>
        <v>39341.205627119147</v>
      </c>
      <c r="H15" s="15">
        <f t="shared" si="1"/>
        <v>408.79437288085319</v>
      </c>
    </row>
    <row r="16" spans="1:8">
      <c r="A16" s="8" t="s">
        <v>15</v>
      </c>
      <c r="B16" s="14">
        <f>Sheet1!$C$2*Sheet1!$F$2</f>
        <v>39750</v>
      </c>
      <c r="C16" s="14">
        <f>C15*(1+Sheet1!$F$4)</f>
        <v>22305.473182621517</v>
      </c>
      <c r="D16" s="14">
        <f>ABS(Sheet1!I24)</f>
        <v>7039.3388481009297</v>
      </c>
      <c r="F16" s="14">
        <f>IF($A$2=$B$2,VLOOKUP(A16,Sheet1!$B$12:$E$28,2,FALSE),IF($A$2=$C$2,VLOOKUP(A16,Sheet1!$B$11:$E$28,3,FALSE),IF($A$2=$D$2,VLOOKUP(A16,Sheet1!$B$12:$E$28,4,FALSE),0)))</f>
        <v>9990.0000000000018</v>
      </c>
      <c r="G16" s="15">
        <f t="shared" si="0"/>
        <v>39334.812030722445</v>
      </c>
      <c r="H16" s="15">
        <f t="shared" si="1"/>
        <v>415.18796927755466</v>
      </c>
    </row>
    <row r="17" spans="1:8">
      <c r="A17" s="8" t="s">
        <v>16</v>
      </c>
      <c r="B17" s="14">
        <f>Sheet1!$C$2*Sheet1!$F$2</f>
        <v>39750</v>
      </c>
      <c r="C17" s="14">
        <f>C16*(1+Sheet1!$F$4)</f>
        <v>22863.110012187055</v>
      </c>
      <c r="D17" s="14">
        <f>ABS(Sheet1!I25)</f>
        <v>6463.752105844771</v>
      </c>
      <c r="F17" s="14">
        <f>IF($A$2=$B$2,VLOOKUP(A17,Sheet1!$B$12:$E$28,2,FALSE),IF($A$2=$C$2,VLOOKUP(A17,Sheet1!$B$11:$E$28,3,FALSE),IF($A$2=$D$2,VLOOKUP(A17,Sheet1!$B$12:$E$28,4,FALSE),0)))</f>
        <v>10005</v>
      </c>
      <c r="G17" s="15">
        <f t="shared" si="0"/>
        <v>39331.86211803183</v>
      </c>
      <c r="H17" s="15">
        <f t="shared" si="1"/>
        <v>418.1378819681704</v>
      </c>
    </row>
    <row r="18" spans="1:8">
      <c r="A18" s="8" t="s">
        <v>17</v>
      </c>
      <c r="B18" s="14">
        <f>Sheet1!$C$2*Sheet1!$F$2</f>
        <v>39750</v>
      </c>
      <c r="C18" s="14">
        <f>C17*(1+Sheet1!$F$4)</f>
        <v>23434.687762491729</v>
      </c>
      <c r="D18" s="14">
        <f>ABS(Sheet1!I26)</f>
        <v>5844.9963579194</v>
      </c>
      <c r="F18" s="14">
        <f>IF($A$2=$B$2,VLOOKUP(A18,Sheet1!$B$12:$E$28,2,FALSE),IF($A$2=$C$2,VLOOKUP(A18,Sheet1!$B$11:$E$28,3,FALSE),IF($A$2=$D$2,VLOOKUP(A18,Sheet1!$B$12:$E$28,4,FALSE),0)))</f>
        <v>9990.0000000000018</v>
      </c>
      <c r="G18" s="15">
        <f t="shared" si="0"/>
        <v>39269.684120411133</v>
      </c>
      <c r="H18" s="15">
        <f t="shared" si="1"/>
        <v>480.31587958886666</v>
      </c>
    </row>
    <row r="19" spans="1:8">
      <c r="A19" s="8" t="s">
        <v>18</v>
      </c>
      <c r="B19" s="14">
        <f>Sheet1!$C$2*Sheet1!$F$2</f>
        <v>39750</v>
      </c>
      <c r="C19" s="14">
        <f>C18*(1+Sheet1!$F$4)</f>
        <v>24020.55495655402</v>
      </c>
      <c r="D19" s="14">
        <f>ABS(Sheet1!I27)</f>
        <v>5179.8339288996267</v>
      </c>
      <c r="F19" s="14">
        <f>IF($A$2=$B$2,VLOOKUP(A19,Sheet1!$B$12:$E$28,2,FALSE),IF($A$2=$C$2,VLOOKUP(A19,Sheet1!$B$11:$E$28,3,FALSE),IF($A$2=$D$2,VLOOKUP(A19,Sheet1!$B$12:$E$28,4,FALSE),0)))</f>
        <v>10005</v>
      </c>
      <c r="G19" s="15">
        <f t="shared" si="0"/>
        <v>39205.388885453649</v>
      </c>
      <c r="H19" s="15">
        <f t="shared" si="1"/>
        <v>544.61111454635102</v>
      </c>
    </row>
    <row r="20" spans="1:8">
      <c r="A20" s="8" t="s">
        <v>19</v>
      </c>
      <c r="B20" s="14">
        <f>Sheet1!$C$2*Sheet1!$F$2</f>
        <v>39750</v>
      </c>
      <c r="C20" s="14">
        <f>C19*(1+Sheet1!$F$4)</f>
        <v>24621.06883046787</v>
      </c>
      <c r="D20" s="14">
        <f>ABS(Sheet1!I28)</f>
        <v>4464.7843177033701</v>
      </c>
      <c r="F20" s="14">
        <f>IF($A$2=$B$2,VLOOKUP(A20,Sheet1!$B$12:$E$28,2,FALSE),IF($A$2=$C$2,VLOOKUP(A20,Sheet1!$B$11:$E$28,3,FALSE),IF($A$2=$D$2,VLOOKUP(A20,Sheet1!$B$12:$E$28,4,FALSE),0)))</f>
        <v>4995.0000000000009</v>
      </c>
      <c r="G20" s="15">
        <f t="shared" si="0"/>
        <v>34080.853148171242</v>
      </c>
      <c r="H20" s="15">
        <f t="shared" si="1"/>
        <v>5669.1468518287584</v>
      </c>
    </row>
    <row r="21" spans="1:8">
      <c r="A21" s="8" t="s">
        <v>20</v>
      </c>
      <c r="B21" s="14">
        <f>Sheet1!$C$2*Sheet1!$F$2</f>
        <v>39750</v>
      </c>
      <c r="C21" s="14">
        <f>C20*(1+Sheet1!$F$4)</f>
        <v>25236.595551229566</v>
      </c>
      <c r="D21" s="14">
        <f>ABS(Sheet1!I29)</f>
        <v>3696.1059856673955</v>
      </c>
      <c r="F21" s="14">
        <v>0</v>
      </c>
      <c r="G21" s="15">
        <f t="shared" si="0"/>
        <v>28932.701536896962</v>
      </c>
      <c r="H21" s="15">
        <f t="shared" si="1"/>
        <v>10817.298463103038</v>
      </c>
    </row>
    <row r="22" spans="1:8">
      <c r="A22" s="8" t="s">
        <v>36</v>
      </c>
      <c r="B22" s="14">
        <f>Sheet1!$C$2*Sheet1!$F$2</f>
        <v>39750</v>
      </c>
      <c r="C22" s="14">
        <f>C21*(1+Sheet1!$F$4)</f>
        <v>25867.510440010305</v>
      </c>
      <c r="D22" s="14">
        <f>ABS(Sheet1!I30)</f>
        <v>2869.7767787287212</v>
      </c>
      <c r="F22" s="14">
        <v>0</v>
      </c>
      <c r="G22" s="15">
        <f t="shared" si="0"/>
        <v>28737.287218739024</v>
      </c>
      <c r="H22" s="15">
        <f t="shared" si="1"/>
        <v>11012.712781260976</v>
      </c>
    </row>
    <row r="23" spans="1:8">
      <c r="A23" s="8" t="s">
        <v>37</v>
      </c>
      <c r="B23" s="14">
        <f>Sheet1!$C$2*Sheet1!$F$2</f>
        <v>39750</v>
      </c>
      <c r="C23" s="14">
        <f>C22*(1+Sheet1!$F$4)</f>
        <v>26514.19820101056</v>
      </c>
      <c r="D23" s="14">
        <f>ABS(Sheet1!I31)</f>
        <v>1981.4728812696474</v>
      </c>
      <c r="F23" s="14">
        <v>0</v>
      </c>
      <c r="G23" s="15">
        <f t="shared" si="0"/>
        <v>28495.671082280209</v>
      </c>
      <c r="H23" s="15">
        <f t="shared" si="1"/>
        <v>11254.328917719791</v>
      </c>
    </row>
    <row r="24" spans="1:8">
      <c r="A24" s="8" t="s">
        <v>38</v>
      </c>
      <c r="B24" s="14">
        <f>Sheet1!$C$2*Sheet1!$F$2</f>
        <v>39750</v>
      </c>
      <c r="C24" s="14">
        <f>C23*(1+Sheet1!$F$4)</f>
        <v>27177.053156035821</v>
      </c>
      <c r="D24" s="14">
        <f>ABS(Sheet1!I32)</f>
        <v>1026.5461915011426</v>
      </c>
      <c r="F24" s="14">
        <v>0</v>
      </c>
      <c r="G24" s="15">
        <f t="shared" si="0"/>
        <v>28203.599347536965</v>
      </c>
      <c r="H24" s="15">
        <f t="shared" si="1"/>
        <v>11546.400652463035</v>
      </c>
    </row>
    <row r="25" spans="1:8">
      <c r="A25" s="8" t="s">
        <v>39</v>
      </c>
      <c r="B25" s="14">
        <f>Sheet1!$C$2*Sheet1!$F$2</f>
        <v>39750</v>
      </c>
      <c r="C25" s="14">
        <f>C24*(1+Sheet1!$F$4)</f>
        <v>27856.479484936714</v>
      </c>
      <c r="D25" s="14">
        <f>ABS(Sheet1!I33)</f>
        <v>0</v>
      </c>
      <c r="F25" s="14">
        <v>0</v>
      </c>
      <c r="G25" s="15">
        <f t="shared" si="0"/>
        <v>27856.479484936714</v>
      </c>
      <c r="H25" s="15">
        <f t="shared" si="1"/>
        <v>11893.520515063286</v>
      </c>
    </row>
    <row r="26" spans="1:8">
      <c r="A26" s="8" t="s">
        <v>40</v>
      </c>
      <c r="B26" s="14">
        <f>Sheet1!$C$2*Sheet1!$F$2</f>
        <v>39750</v>
      </c>
      <c r="C26" s="14">
        <f>C25*(1+Sheet1!$F$4)</f>
        <v>28552.891472060128</v>
      </c>
      <c r="D26" s="14">
        <f>ABS(Sheet1!I34)</f>
        <v>0</v>
      </c>
      <c r="F26" s="14">
        <v>0</v>
      </c>
      <c r="G26" s="15">
        <f t="shared" si="0"/>
        <v>28552.891472060128</v>
      </c>
      <c r="H26" s="15">
        <f t="shared" si="1"/>
        <v>11197.108527939872</v>
      </c>
    </row>
    <row r="27" spans="1:8">
      <c r="A27" s="8" t="s">
        <v>41</v>
      </c>
      <c r="B27" s="14">
        <f>Sheet1!$C$2*Sheet1!$F$2</f>
        <v>39750</v>
      </c>
      <c r="C27" s="14">
        <f>C26*(1+Sheet1!$F$4)</f>
        <v>29266.713758861628</v>
      </c>
      <c r="D27" s="14">
        <f>ABS(Sheet1!I35)</f>
        <v>0</v>
      </c>
      <c r="F27" s="14">
        <v>0</v>
      </c>
      <c r="G27" s="15">
        <f t="shared" si="0"/>
        <v>29266.713758861628</v>
      </c>
      <c r="H27" s="15">
        <f t="shared" si="1"/>
        <v>10483.286241138372</v>
      </c>
    </row>
    <row r="28" spans="1:8">
      <c r="A28" s="8" t="s">
        <v>42</v>
      </c>
      <c r="B28" s="14">
        <f>Sheet1!$C$2*Sheet1!$F$2</f>
        <v>39750</v>
      </c>
      <c r="C28" s="14">
        <f>C27*(1+Sheet1!$F$4)</f>
        <v>29998.381602833168</v>
      </c>
      <c r="D28" s="14">
        <f>ABS(Sheet1!I36)</f>
        <v>0</v>
      </c>
      <c r="F28" s="14">
        <v>0</v>
      </c>
      <c r="G28" s="15">
        <f t="shared" si="0"/>
        <v>29998.381602833168</v>
      </c>
      <c r="H28" s="15">
        <f t="shared" si="1"/>
        <v>9751.6183971668324</v>
      </c>
    </row>
    <row r="29" spans="1:8">
      <c r="A29" s="8" t="s">
        <v>43</v>
      </c>
      <c r="B29" s="14">
        <f>Sheet1!$C$2*Sheet1!$F$2</f>
        <v>39750</v>
      </c>
      <c r="C29" s="14">
        <f>C28*(1+Sheet1!$F$4)</f>
        <v>30748.341142903995</v>
      </c>
      <c r="D29" s="14">
        <f>ABS(Sheet1!I37)</f>
        <v>0</v>
      </c>
      <c r="F29" s="14">
        <v>0</v>
      </c>
      <c r="G29" s="15">
        <f t="shared" si="0"/>
        <v>30748.341142903995</v>
      </c>
      <c r="H29" s="15">
        <f t="shared" si="1"/>
        <v>9001.6588570960048</v>
      </c>
    </row>
    <row r="39" spans="1:11" ht="15.75" thickBot="1">
      <c r="A39" s="16" t="s">
        <v>50</v>
      </c>
      <c r="B39" s="17"/>
      <c r="C39" s="17"/>
      <c r="D39" s="18"/>
      <c r="E39" s="18"/>
      <c r="F39" s="18"/>
      <c r="G39" s="18"/>
      <c r="H39" s="18"/>
      <c r="I39" s="18"/>
      <c r="J39" s="18"/>
      <c r="K39" s="18"/>
    </row>
    <row r="40" spans="1:11">
      <c r="A40" s="19" t="s">
        <v>51</v>
      </c>
      <c r="B40" s="20"/>
      <c r="C40" s="20"/>
      <c r="D40" s="21"/>
      <c r="E40" s="21"/>
      <c r="F40" s="30"/>
      <c r="G40" s="24"/>
      <c r="H40" s="24"/>
      <c r="I40" s="24"/>
      <c r="J40" s="24"/>
      <c r="K40" s="24"/>
    </row>
    <row r="41" spans="1:11">
      <c r="A41" s="22" t="s">
        <v>52</v>
      </c>
      <c r="B41" s="23"/>
      <c r="C41" s="23"/>
      <c r="D41" s="24"/>
      <c r="E41" s="24"/>
      <c r="F41" s="31"/>
      <c r="G41" s="24"/>
      <c r="H41" s="24"/>
      <c r="I41" s="24"/>
      <c r="J41" s="24"/>
      <c r="K41" s="24"/>
    </row>
    <row r="42" spans="1:11">
      <c r="A42" s="22" t="s">
        <v>53</v>
      </c>
      <c r="B42" s="23"/>
      <c r="C42" s="23"/>
      <c r="D42" s="24"/>
      <c r="E42" s="24"/>
      <c r="F42" s="31"/>
      <c r="G42" s="24"/>
      <c r="H42" s="24"/>
      <c r="I42" s="24"/>
      <c r="J42" s="24"/>
      <c r="K42" s="24"/>
    </row>
    <row r="43" spans="1:11" ht="15.75" thickBot="1">
      <c r="A43" s="25" t="s">
        <v>54</v>
      </c>
      <c r="B43" s="26"/>
      <c r="C43" s="26"/>
      <c r="D43" s="27" t="s">
        <v>55</v>
      </c>
      <c r="E43" s="28"/>
      <c r="F43" s="32"/>
      <c r="G43" s="24"/>
      <c r="H43" s="24"/>
      <c r="I43" s="24"/>
      <c r="J43" s="24"/>
      <c r="K43" s="29"/>
    </row>
  </sheetData>
  <sheetProtection sheet="1"/>
  <dataValidations count="1">
    <dataValidation type="list" allowBlank="1" showInputMessage="1" showErrorMessage="1" sqref="A2">
      <formula1>$B$2:$D$2</formula1>
    </dataValidation>
  </dataValidations>
  <hyperlinks>
    <hyperlink ref="D43" r:id="rId1"/>
  </hyperlinks>
  <pageMargins left="0.7" right="0.7" top="0.75" bottom="0.75" header="0.3" footer="0.3"/>
  <pageSetup scale="88" fitToHeight="0" orientation="landscape" verticalDpi="2"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Sheet2!Print_Area</vt:lpstr>
    </vt:vector>
  </TitlesOfParts>
  <Company>Louisiana State University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rpruitt</dc:creator>
  <cp:lastModifiedBy>rpruitt</cp:lastModifiedBy>
  <cp:lastPrinted>2011-06-06T19:41:11Z</cp:lastPrinted>
  <dcterms:created xsi:type="dcterms:W3CDTF">2011-04-19T15:37:57Z</dcterms:created>
  <dcterms:modified xsi:type="dcterms:W3CDTF">2011-06-29T21:31:57Z</dcterms:modified>
</cp:coreProperties>
</file>